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tabRatio="704" activeTab="0"/>
  </bookViews>
  <sheets>
    <sheet name="Formulas" sheetId="1" r:id="rId1"/>
    <sheet name="Values Only" sheetId="2" r:id="rId2"/>
    <sheet name="Electricity &amp; Oil" sheetId="3" r:id="rId3"/>
    <sheet name="Consumption vs Production" sheetId="4" r:id="rId4"/>
    <sheet name="Consumption &amp;  Production" sheetId="5" r:id="rId5"/>
    <sheet name="Ecuador" sheetId="6" r:id="rId6"/>
  </sheets>
  <definedNames/>
  <calcPr fullCalcOnLoad="1"/>
</workbook>
</file>

<file path=xl/sharedStrings.xml><?xml version="1.0" encoding="utf-8"?>
<sst xmlns="http://schemas.openxmlformats.org/spreadsheetml/2006/main" count="106" uniqueCount="52">
  <si>
    <t>Conversion Factors</t>
  </si>
  <si>
    <t>kwh(e)/bbl</t>
  </si>
  <si>
    <t>watts/sf panel</t>
  </si>
  <si>
    <t>hrs/day</t>
  </si>
  <si>
    <t>hrs(sol)/mo</t>
  </si>
  <si>
    <t>total hr/mo</t>
  </si>
  <si>
    <t>kwh(e)/cap</t>
  </si>
  <si>
    <t>pv, SF/cap</t>
  </si>
  <si>
    <t>pv, SF/family of 4</t>
  </si>
  <si>
    <t>cf/mi^3</t>
  </si>
  <si>
    <t>cf/bbl</t>
  </si>
  <si>
    <t>bbl/mi^3</t>
  </si>
  <si>
    <t>bbl/km^3</t>
  </si>
  <si>
    <t>Population</t>
  </si>
  <si>
    <t>kWh(e)/yr/cap</t>
  </si>
  <si>
    <t>kWh(e)/hr/cap</t>
  </si>
  <si>
    <t>%(US)</t>
  </si>
  <si>
    <t>BO</t>
  </si>
  <si>
    <t>CA</t>
  </si>
  <si>
    <t>CU</t>
  </si>
  <si>
    <t>DE</t>
  </si>
  <si>
    <t>EG</t>
  </si>
  <si>
    <t>GT</t>
  </si>
  <si>
    <t>JA</t>
  </si>
  <si>
    <t>KP</t>
  </si>
  <si>
    <t>MX</t>
  </si>
  <si>
    <t>NG</t>
  </si>
  <si>
    <t>UG</t>
  </si>
  <si>
    <t>UK</t>
  </si>
  <si>
    <t>US</t>
  </si>
  <si>
    <t>VE</t>
  </si>
  <si>
    <t>ZA</t>
  </si>
  <si>
    <t>ID</t>
  </si>
  <si>
    <t>AU</t>
  </si>
  <si>
    <t>IN</t>
  </si>
  <si>
    <t>NO</t>
  </si>
  <si>
    <t>IR</t>
  </si>
  <si>
    <t>IQ</t>
  </si>
  <si>
    <t>IL</t>
  </si>
  <si>
    <t>SA</t>
  </si>
  <si>
    <t>AF</t>
  </si>
  <si>
    <t>Production/day</t>
  </si>
  <si>
    <t>Electricity</t>
  </si>
  <si>
    <t>Oil Consumption</t>
  </si>
  <si>
    <t>Oil Production</t>
  </si>
  <si>
    <t>prd/cns</t>
  </si>
  <si>
    <t>CN</t>
  </si>
  <si>
    <t>mbbl/yr</t>
  </si>
  <si>
    <t>bbl/yr/cap</t>
  </si>
  <si>
    <t>%(US)cns</t>
  </si>
  <si>
    <t>JP</t>
  </si>
  <si>
    <t>EC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</si>
</sst>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_(* #,##0.000_);_(* \(#,##0.000\);_(* &quot;-&quot;???_);_(@_)"/>
    <numFmt numFmtId="168" formatCode="_(* #,##0.0_);_(* \(#,##0.0\);_(* &quot;-&quot;??_);_(@_)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0.00000"/>
    <numFmt numFmtId="176" formatCode="0.0000"/>
    <numFmt numFmtId="177" formatCode="0.000"/>
    <numFmt numFmtId="178" formatCode="0.0"/>
  </numFmts>
  <fonts count="1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b/>
      <sz val="10"/>
      <color indexed="8"/>
      <name val="Tahoma"/>
      <family val="2"/>
    </font>
    <font>
      <sz val="10"/>
      <color indexed="8"/>
      <name val="Arial"/>
      <family val="0"/>
    </font>
    <font>
      <b/>
      <sz val="10"/>
      <name val="Tahoma"/>
      <family val="2"/>
    </font>
    <font>
      <sz val="9"/>
      <color indexed="8"/>
      <name val="Tahoma"/>
      <family val="2"/>
    </font>
    <font>
      <sz val="10"/>
      <name val="Arial"/>
      <family val="0"/>
    </font>
    <font>
      <b/>
      <sz val="12"/>
      <name val="Arial"/>
      <family val="0"/>
    </font>
    <font>
      <sz val="8"/>
      <name val="Tahoma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43" fontId="5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43" fontId="4" fillId="0" borderId="0" xfId="0" applyNumberFormat="1" applyFont="1" applyAlignment="1">
      <alignment horizontal="left"/>
    </xf>
    <xf numFmtId="43" fontId="4" fillId="0" borderId="2" xfId="0" applyNumberFormat="1" applyFont="1" applyBorder="1" applyAlignment="1">
      <alignment horizontal="left"/>
    </xf>
    <xf numFmtId="43" fontId="4" fillId="0" borderId="3" xfId="0" applyNumberFormat="1" applyFont="1" applyBorder="1" applyAlignment="1">
      <alignment horizontal="left"/>
    </xf>
    <xf numFmtId="43" fontId="4" fillId="0" borderId="3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43" fontId="0" fillId="0" borderId="1" xfId="0" applyNumberFormat="1" applyBorder="1" applyAlignment="1">
      <alignment/>
    </xf>
    <xf numFmtId="9" fontId="5" fillId="0" borderId="1" xfId="0" applyNumberFormat="1" applyFont="1" applyBorder="1" applyAlignment="1">
      <alignment/>
    </xf>
    <xf numFmtId="9" fontId="5" fillId="0" borderId="4" xfId="0" applyNumberFormat="1" applyFont="1" applyBorder="1" applyAlignment="1">
      <alignment/>
    </xf>
    <xf numFmtId="9" fontId="5" fillId="0" borderId="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168" fontId="4" fillId="0" borderId="0" xfId="15" applyNumberFormat="1" applyFont="1" applyAlignment="1">
      <alignment horizontal="right"/>
    </xf>
    <xf numFmtId="168" fontId="0" fillId="0" borderId="0" xfId="15" applyNumberFormat="1" applyFont="1" applyAlignment="1">
      <alignment/>
    </xf>
    <xf numFmtId="9" fontId="0" fillId="0" borderId="6" xfId="19" applyFont="1" applyBorder="1" applyAlignment="1">
      <alignment/>
    </xf>
    <xf numFmtId="9" fontId="7" fillId="0" borderId="0" xfId="19" applyFont="1" applyBorder="1" applyAlignment="1">
      <alignment/>
    </xf>
    <xf numFmtId="9" fontId="0" fillId="0" borderId="4" xfId="19" applyFont="1" applyBorder="1" applyAlignment="1">
      <alignment/>
    </xf>
    <xf numFmtId="168" fontId="0" fillId="2" borderId="7" xfId="15" applyNumberFormat="1" applyFill="1" applyBorder="1" applyAlignment="1">
      <alignment/>
    </xf>
    <xf numFmtId="43" fontId="0" fillId="0" borderId="8" xfId="0" applyNumberFormat="1" applyBorder="1" applyAlignment="1">
      <alignment/>
    </xf>
    <xf numFmtId="168" fontId="0" fillId="2" borderId="3" xfId="15" applyNumberFormat="1" applyFill="1" applyBorder="1" applyAlignment="1">
      <alignment/>
    </xf>
    <xf numFmtId="168" fontId="6" fillId="2" borderId="3" xfId="15" applyNumberFormat="1" applyFont="1" applyFill="1" applyBorder="1" applyAlignment="1">
      <alignment/>
    </xf>
    <xf numFmtId="168" fontId="0" fillId="2" borderId="9" xfId="15" applyNumberFormat="1" applyFill="1" applyBorder="1" applyAlignment="1">
      <alignment/>
    </xf>
    <xf numFmtId="168" fontId="0" fillId="0" borderId="0" xfId="15" applyNumberFormat="1" applyFont="1" applyBorder="1" applyAlignment="1">
      <alignment/>
    </xf>
    <xf numFmtId="9" fontId="7" fillId="0" borderId="1" xfId="19" applyFont="1" applyBorder="1" applyAlignment="1">
      <alignment/>
    </xf>
    <xf numFmtId="9" fontId="0" fillId="0" borderId="5" xfId="19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/>
    </xf>
    <xf numFmtId="164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3" fontId="8" fillId="0" borderId="7" xfId="0" applyNumberFormat="1" applyFont="1" applyFill="1" applyBorder="1" applyAlignment="1" applyProtection="1">
      <alignment horizontal="right" vertical="top" wrapText="1"/>
      <protection locked="0"/>
    </xf>
    <xf numFmtId="3" fontId="8" fillId="0" borderId="3" xfId="0" applyNumberFormat="1" applyFont="1" applyFill="1" applyBorder="1" applyAlignment="1" applyProtection="1">
      <alignment horizontal="right" vertical="top" wrapText="1"/>
      <protection locked="0"/>
    </xf>
    <xf numFmtId="3" fontId="8" fillId="0" borderId="9" xfId="0" applyNumberFormat="1" applyFont="1" applyFill="1" applyBorder="1" applyAlignment="1" applyProtection="1">
      <alignment horizontal="right" vertical="top" wrapText="1"/>
      <protection locked="0"/>
    </xf>
    <xf numFmtId="43" fontId="4" fillId="0" borderId="10" xfId="0" applyNumberFormat="1" applyFont="1" applyFill="1" applyBorder="1" applyAlignment="1">
      <alignment horizontal="right"/>
    </xf>
    <xf numFmtId="43" fontId="5" fillId="3" borderId="11" xfId="0" applyNumberFormat="1" applyFont="1" applyFill="1" applyBorder="1" applyAlignment="1">
      <alignment horizontal="right"/>
    </xf>
    <xf numFmtId="169" fontId="8" fillId="4" borderId="7" xfId="15" applyNumberFormat="1" applyFont="1" applyFill="1" applyBorder="1" applyAlignment="1" applyProtection="1">
      <alignment horizontal="right" vertical="top" wrapText="1"/>
      <protection locked="0"/>
    </xf>
    <xf numFmtId="169" fontId="8" fillId="4" borderId="3" xfId="15" applyNumberFormat="1" applyFont="1" applyFill="1" applyBorder="1" applyAlignment="1" applyProtection="1">
      <alignment horizontal="right" vertical="top" wrapText="1"/>
      <protection locked="0"/>
    </xf>
    <xf numFmtId="169" fontId="8" fillId="4" borderId="9" xfId="15" applyNumberFormat="1" applyFont="1" applyFill="1" applyBorder="1" applyAlignment="1" applyProtection="1">
      <alignment horizontal="right" vertical="top" wrapText="1"/>
      <protection locked="0"/>
    </xf>
    <xf numFmtId="16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68" fontId="4" fillId="0" borderId="11" xfId="15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66" fontId="7" fillId="0" borderId="0" xfId="19" applyNumberFormat="1" applyFont="1" applyBorder="1" applyAlignment="1">
      <alignment/>
    </xf>
    <xf numFmtId="166" fontId="7" fillId="0" borderId="8" xfId="19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9" fontId="7" fillId="5" borderId="0" xfId="19" applyFont="1" applyFill="1" applyBorder="1" applyAlignment="1">
      <alignment/>
    </xf>
    <xf numFmtId="9" fontId="5" fillId="6" borderId="4" xfId="0" applyNumberFormat="1" applyFont="1" applyFill="1" applyBorder="1" applyAlignment="1">
      <alignment/>
    </xf>
    <xf numFmtId="43" fontId="4" fillId="7" borderId="0" xfId="0" applyNumberFormat="1" applyFont="1" applyFill="1" applyAlignment="1">
      <alignment horizontal="left"/>
    </xf>
    <xf numFmtId="164" fontId="4" fillId="7" borderId="0" xfId="0" applyNumberFormat="1" applyFont="1" applyFill="1" applyAlignment="1">
      <alignment/>
    </xf>
    <xf numFmtId="164" fontId="4" fillId="7" borderId="3" xfId="0" applyNumberFormat="1" applyFont="1" applyFill="1" applyBorder="1" applyAlignment="1">
      <alignment/>
    </xf>
    <xf numFmtId="165" fontId="4" fillId="7" borderId="0" xfId="0" applyNumberFormat="1" applyFont="1" applyFill="1" applyBorder="1" applyAlignment="1">
      <alignment/>
    </xf>
    <xf numFmtId="9" fontId="5" fillId="7" borderId="4" xfId="0" applyNumberFormat="1" applyFont="1" applyFill="1" applyBorder="1" applyAlignment="1">
      <alignment/>
    </xf>
    <xf numFmtId="168" fontId="0" fillId="7" borderId="3" xfId="15" applyNumberFormat="1" applyFill="1" applyBorder="1" applyAlignment="1">
      <alignment/>
    </xf>
    <xf numFmtId="43" fontId="0" fillId="7" borderId="0" xfId="0" applyNumberFormat="1" applyFill="1" applyBorder="1" applyAlignment="1">
      <alignment/>
    </xf>
    <xf numFmtId="9" fontId="5" fillId="7" borderId="0" xfId="0" applyNumberFormat="1" applyFont="1" applyFill="1" applyBorder="1" applyAlignment="1">
      <alignment/>
    </xf>
    <xf numFmtId="3" fontId="8" fillId="8" borderId="3" xfId="0" applyNumberFormat="1" applyFont="1" applyFill="1" applyBorder="1" applyAlignment="1" applyProtection="1">
      <alignment horizontal="right" vertical="top" wrapText="1"/>
      <protection locked="0"/>
    </xf>
    <xf numFmtId="169" fontId="8" fillId="8" borderId="3" xfId="15" applyNumberFormat="1" applyFont="1" applyFill="1" applyBorder="1" applyAlignment="1" applyProtection="1">
      <alignment horizontal="right" vertical="top" wrapText="1"/>
      <protection locked="0"/>
    </xf>
    <xf numFmtId="9" fontId="7" fillId="7" borderId="0" xfId="19" applyFont="1" applyFill="1" applyBorder="1" applyAlignment="1">
      <alignment/>
    </xf>
    <xf numFmtId="9" fontId="0" fillId="7" borderId="4" xfId="19" applyFont="1" applyFill="1" applyBorder="1" applyAlignment="1">
      <alignment/>
    </xf>
    <xf numFmtId="0" fontId="0" fillId="7" borderId="0" xfId="0" applyFill="1" applyAlignment="1">
      <alignment/>
    </xf>
    <xf numFmtId="43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5" fillId="0" borderId="4" xfId="0" applyNumberFormat="1" applyFont="1" applyFill="1" applyBorder="1" applyAlignment="1">
      <alignment/>
    </xf>
    <xf numFmtId="168" fontId="0" fillId="0" borderId="3" xfId="15" applyNumberForma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3" fontId="8" fillId="0" borderId="3" xfId="0" applyNumberFormat="1" applyFont="1" applyFill="1" applyBorder="1" applyAlignment="1" applyProtection="1">
      <alignment horizontal="right" vertical="top" wrapText="1"/>
      <protection locked="0"/>
    </xf>
    <xf numFmtId="169" fontId="8" fillId="0" borderId="3" xfId="15" applyNumberFormat="1" applyFont="1" applyFill="1" applyBorder="1" applyAlignment="1" applyProtection="1">
      <alignment horizontal="right" vertical="top" wrapText="1"/>
      <protection locked="0"/>
    </xf>
    <xf numFmtId="9" fontId="7" fillId="0" borderId="0" xfId="19" applyFont="1" applyFill="1" applyBorder="1" applyAlignment="1">
      <alignment/>
    </xf>
    <xf numFmtId="9" fontId="0" fillId="0" borderId="4" xfId="19" applyFont="1" applyFill="1" applyBorder="1" applyAlignment="1">
      <alignment/>
    </xf>
    <xf numFmtId="43" fontId="4" fillId="9" borderId="3" xfId="0" applyNumberFormat="1" applyFont="1" applyFill="1" applyBorder="1" applyAlignment="1">
      <alignment horizontal="left"/>
    </xf>
    <xf numFmtId="164" fontId="4" fillId="9" borderId="0" xfId="0" applyNumberFormat="1" applyFont="1" applyFill="1" applyAlignment="1">
      <alignment/>
    </xf>
    <xf numFmtId="164" fontId="4" fillId="9" borderId="3" xfId="0" applyNumberFormat="1" applyFont="1" applyFill="1" applyBorder="1" applyAlignment="1">
      <alignment/>
    </xf>
    <xf numFmtId="166" fontId="5" fillId="9" borderId="4" xfId="0" applyNumberFormat="1" applyFont="1" applyFill="1" applyBorder="1" applyAlignment="1">
      <alignment/>
    </xf>
    <xf numFmtId="168" fontId="0" fillId="9" borderId="3" xfId="15" applyNumberFormat="1" applyFill="1" applyBorder="1" applyAlignment="1">
      <alignment/>
    </xf>
    <xf numFmtId="43" fontId="0" fillId="9" borderId="0" xfId="0" applyNumberFormat="1" applyFill="1" applyBorder="1" applyAlignment="1">
      <alignment/>
    </xf>
    <xf numFmtId="9" fontId="5" fillId="9" borderId="0" xfId="0" applyNumberFormat="1" applyFont="1" applyFill="1" applyBorder="1" applyAlignment="1">
      <alignment/>
    </xf>
    <xf numFmtId="3" fontId="8" fillId="10" borderId="3" xfId="0" applyNumberFormat="1" applyFont="1" applyFill="1" applyBorder="1" applyAlignment="1" applyProtection="1">
      <alignment horizontal="right" vertical="top" wrapText="1"/>
      <protection locked="0"/>
    </xf>
    <xf numFmtId="169" fontId="8" fillId="10" borderId="3" xfId="15" applyNumberFormat="1" applyFont="1" applyFill="1" applyBorder="1" applyAlignment="1" applyProtection="1">
      <alignment horizontal="right" vertical="top" wrapText="1"/>
      <protection locked="0"/>
    </xf>
    <xf numFmtId="9" fontId="7" fillId="9" borderId="0" xfId="19" applyFont="1" applyFill="1" applyBorder="1" applyAlignment="1">
      <alignment/>
    </xf>
    <xf numFmtId="9" fontId="0" fillId="9" borderId="4" xfId="19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right"/>
    </xf>
    <xf numFmtId="165" fontId="4" fillId="0" borderId="11" xfId="15" applyNumberFormat="1" applyFont="1" applyBorder="1" applyAlignment="1">
      <alignment horizontal="right"/>
    </xf>
    <xf numFmtId="165" fontId="4" fillId="0" borderId="8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9" borderId="0" xfId="15" applyNumberFormat="1" applyFont="1" applyFill="1" applyBorder="1" applyAlignment="1">
      <alignment/>
    </xf>
    <xf numFmtId="165" fontId="0" fillId="0" borderId="0" xfId="15" applyNumberFormat="1" applyFill="1" applyAlignment="1">
      <alignment/>
    </xf>
    <xf numFmtId="165" fontId="4" fillId="0" borderId="1" xfId="15" applyNumberFormat="1" applyFont="1" applyBorder="1" applyAlignment="1">
      <alignment/>
    </xf>
    <xf numFmtId="165" fontId="4" fillId="7" borderId="0" xfId="15" applyNumberFormat="1" applyFont="1" applyFill="1" applyBorder="1" applyAlignment="1">
      <alignment/>
    </xf>
    <xf numFmtId="174" fontId="0" fillId="0" borderId="0" xfId="0" applyNumberFormat="1" applyAlignment="1">
      <alignment/>
    </xf>
    <xf numFmtId="9" fontId="0" fillId="0" borderId="0" xfId="19" applyAlignment="1">
      <alignment/>
    </xf>
    <xf numFmtId="0" fontId="7" fillId="0" borderId="0" xfId="0" applyFont="1" applyFill="1" applyAlignment="1">
      <alignment/>
    </xf>
    <xf numFmtId="164" fontId="5" fillId="3" borderId="2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168" fontId="5" fillId="3" borderId="2" xfId="15" applyNumberFormat="1" applyFont="1" applyFill="1" applyBorder="1" applyAlignment="1">
      <alignment horizontal="center"/>
    </xf>
    <xf numFmtId="168" fontId="5" fillId="3" borderId="10" xfId="15" applyNumberFormat="1" applyFont="1" applyFill="1" applyBorder="1" applyAlignment="1">
      <alignment horizontal="center"/>
    </xf>
    <xf numFmtId="168" fontId="5" fillId="3" borderId="12" xfId="15" applyNumberFormat="1" applyFont="1" applyFill="1" applyBorder="1" applyAlignment="1">
      <alignment horizontal="center"/>
    </xf>
    <xf numFmtId="168" fontId="7" fillId="3" borderId="2" xfId="15" applyNumberFormat="1" applyFont="1" applyFill="1" applyBorder="1" applyAlignment="1">
      <alignment horizontal="center"/>
    </xf>
    <xf numFmtId="168" fontId="7" fillId="3" borderId="10" xfId="15" applyNumberFormat="1" applyFont="1" applyFill="1" applyBorder="1" applyAlignment="1">
      <alignment horizontal="center"/>
    </xf>
    <xf numFmtId="168" fontId="7" fillId="3" borderId="12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 Capita Energy Consumption</a:t>
            </a:r>
          </a:p>
        </c:rich>
      </c:tx>
      <c:layout>
        <c:manualLayout>
          <c:xMode val="factor"/>
          <c:yMode val="factor"/>
          <c:x val="0.00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515"/>
          <c:w val="0.9305"/>
          <c:h val="0.9145"/>
        </c:manualLayout>
      </c:layout>
      <c:barChart>
        <c:barDir val="bar"/>
        <c:grouping val="clustered"/>
        <c:varyColors val="0"/>
        <c:ser>
          <c:idx val="3"/>
          <c:order val="0"/>
          <c:tx>
            <c:v>Electricity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Only'!$E$18:$E$43</c:f>
              <c:numCache>
                <c:ptCount val="26"/>
                <c:pt idx="0">
                  <c:v>0.3290757470113036</c:v>
                </c:pt>
                <c:pt idx="1">
                  <c:v>0.22770674569736357</c:v>
                </c:pt>
                <c:pt idx="2">
                  <c:v>1</c:v>
                </c:pt>
                <c:pt idx="3">
                  <c:v>0.45613630123850496</c:v>
                </c:pt>
                <c:pt idx="4">
                  <c:v>0.0021844524819304278</c:v>
                </c:pt>
                <c:pt idx="5">
                  <c:v>0.38084333147247906</c:v>
                </c:pt>
                <c:pt idx="6">
                  <c:v>2.028483909326883</c:v>
                </c:pt>
                <c:pt idx="7">
                  <c:v>0.009107479112166032</c:v>
                </c:pt>
                <c:pt idx="8">
                  <c:v>0.13445878745752374</c:v>
                </c:pt>
                <c:pt idx="9">
                  <c:v>0.1299689504660624</c:v>
                </c:pt>
                <c:pt idx="10">
                  <c:v>0.6458894248099851</c:v>
                </c:pt>
                <c:pt idx="11">
                  <c:v>0.11061689188723674</c:v>
                </c:pt>
                <c:pt idx="12">
                  <c:v>0.09538443156027364</c:v>
                </c:pt>
                <c:pt idx="13">
                  <c:v>0.033624058069219115</c:v>
                </c:pt>
                <c:pt idx="14">
                  <c:v>0.4457952312801861</c:v>
                </c:pt>
                <c:pt idx="15">
                  <c:v>0.024776997665802884</c:v>
                </c:pt>
                <c:pt idx="16">
                  <c:v>0.0188790392613838</c:v>
                </c:pt>
                <c:pt idx="17">
                  <c:v>0.06439381960389436</c:v>
                </c:pt>
                <c:pt idx="18">
                  <c:v>0.05966401376325179</c:v>
                </c:pt>
                <c:pt idx="19">
                  <c:v>0.48269731973150537</c:v>
                </c:pt>
                <c:pt idx="20">
                  <c:v>0.10440313051627746</c:v>
                </c:pt>
                <c:pt idx="21">
                  <c:v>0.06580692117195452</c:v>
                </c:pt>
                <c:pt idx="22">
                  <c:v>1.2684128745968377</c:v>
                </c:pt>
                <c:pt idx="23">
                  <c:v>0.02422788054632183</c:v>
                </c:pt>
                <c:pt idx="24">
                  <c:v>0.7405131492286059</c:v>
                </c:pt>
                <c:pt idx="25">
                  <c:v>0.0016163418078010117</c:v>
                </c:pt>
              </c:numCache>
            </c:numRef>
          </c:val>
        </c:ser>
        <c:ser>
          <c:idx val="6"/>
          <c:order val="1"/>
          <c:tx>
            <c:v>Oil</c:v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Only'!$H$18:$H$43</c:f>
              <c:numCache>
                <c:ptCount val="26"/>
                <c:pt idx="0">
                  <c:v>0.14955917693078968</c:v>
                </c:pt>
                <c:pt idx="1">
                  <c:v>0.28183686295008054</c:v>
                </c:pt>
                <c:pt idx="2">
                  <c:v>1</c:v>
                </c:pt>
                <c:pt idx="3">
                  <c:v>0.40725072032391024</c:v>
                </c:pt>
                <c:pt idx="4">
                  <c:v>0.004238090272233508</c:v>
                </c:pt>
                <c:pt idx="5">
                  <c:v>0.8078556676290826</c:v>
                </c:pt>
                <c:pt idx="6">
                  <c:v>0.7060330978742558</c:v>
                </c:pt>
                <c:pt idx="7">
                  <c:v>0.032049187380079135</c:v>
                </c:pt>
                <c:pt idx="8">
                  <c:v>0.27784718545793524</c:v>
                </c:pt>
                <c:pt idx="9">
                  <c:v>0.04686809148890838</c:v>
                </c:pt>
                <c:pt idx="10">
                  <c:v>0.6215595426600786</c:v>
                </c:pt>
                <c:pt idx="11">
                  <c:v>0.2581681692479659</c:v>
                </c:pt>
                <c:pt idx="12">
                  <c:v>0.3087321543121121</c:v>
                </c:pt>
                <c:pt idx="13">
                  <c:v>0.02687032907488649</c:v>
                </c:pt>
                <c:pt idx="14">
                  <c:v>0.6222930539630348</c:v>
                </c:pt>
                <c:pt idx="15">
                  <c:v>0.062176269261044984</c:v>
                </c:pt>
                <c:pt idx="16">
                  <c:v>0.06701338231473235</c:v>
                </c:pt>
                <c:pt idx="17">
                  <c:v>0.12081176005420488</c:v>
                </c:pt>
                <c:pt idx="18">
                  <c:v>0.13259141099628743</c:v>
                </c:pt>
                <c:pt idx="19">
                  <c:v>0.4812129140743588</c:v>
                </c:pt>
                <c:pt idx="20">
                  <c:v>0.20652842504599045</c:v>
                </c:pt>
                <c:pt idx="21">
                  <c:v>0.04833228302821301</c:v>
                </c:pt>
                <c:pt idx="22">
                  <c:v>0.8722504317337275</c:v>
                </c:pt>
                <c:pt idx="23">
                  <c:v>0.06753403102526946</c:v>
                </c:pt>
                <c:pt idx="24">
                  <c:v>0.6272871911996583</c:v>
                </c:pt>
                <c:pt idx="25">
                  <c:v>0.0032781907944162253</c:v>
                </c:pt>
              </c:numCache>
            </c:numRef>
          </c:val>
        </c:ser>
        <c:axId val="57572232"/>
        <c:axId val="48388041"/>
      </c:barChart>
      <c:catAx>
        <c:axId val="57572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8041"/>
        <c:crosses val="autoZero"/>
        <c:auto val="1"/>
        <c:lblOffset val="100"/>
        <c:tickLblSkip val="1"/>
        <c:noMultiLvlLbl val="0"/>
      </c:catAx>
      <c:valAx>
        <c:axId val="4838804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of USA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7572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0735"/>
          <c:w val="0.112"/>
          <c:h val="0.07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 Capita Consumption vs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6"/>
          <c:w val="0.95575"/>
          <c:h val="0.83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7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MY</c:v>
                </c:pt>
                <c:pt idx="9">
                  <c:v>MX</c:v>
                </c:pt>
                <c:pt idx="10">
                  <c:v>KP</c:v>
                </c:pt>
                <c:pt idx="11">
                  <c:v>JA</c:v>
                </c:pt>
                <c:pt idx="12">
                  <c:v>IR</c:v>
                </c:pt>
                <c:pt idx="13">
                  <c:v>IQ</c:v>
                </c:pt>
                <c:pt idx="14">
                  <c:v>IN</c:v>
                </c:pt>
                <c:pt idx="15">
                  <c:v>IL</c:v>
                </c:pt>
                <c:pt idx="16">
                  <c:v>ID</c:v>
                </c:pt>
                <c:pt idx="17">
                  <c:v>GT</c:v>
                </c:pt>
                <c:pt idx="18">
                  <c:v>EG</c:v>
                </c:pt>
                <c:pt idx="19">
                  <c:v>EC</c:v>
                </c:pt>
                <c:pt idx="20">
                  <c:v>DE</c:v>
                </c:pt>
                <c:pt idx="21">
                  <c:v>CU</c:v>
                </c:pt>
                <c:pt idx="22">
                  <c:v>CN</c:v>
                </c:pt>
                <c:pt idx="23">
                  <c:v>CA</c:v>
                </c:pt>
                <c:pt idx="24">
                  <c:v>BO</c:v>
                </c:pt>
                <c:pt idx="25">
                  <c:v>AU</c:v>
                </c:pt>
                <c:pt idx="26">
                  <c:v>AF</c:v>
                </c:pt>
              </c:strCache>
            </c:strRef>
          </c:cat>
          <c:val>
            <c:numRef>
              <c:f>'Values Only'!$I$18:$I$43</c:f>
            </c:numRef>
          </c:val>
        </c:ser>
        <c:ser>
          <c:idx val="8"/>
          <c:order val="1"/>
          <c:tx>
            <c:v>Production/Domestic Consumption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7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MY</c:v>
                </c:pt>
                <c:pt idx="9">
                  <c:v>MX</c:v>
                </c:pt>
                <c:pt idx="10">
                  <c:v>KP</c:v>
                </c:pt>
                <c:pt idx="11">
                  <c:v>JA</c:v>
                </c:pt>
                <c:pt idx="12">
                  <c:v>IR</c:v>
                </c:pt>
                <c:pt idx="13">
                  <c:v>IQ</c:v>
                </c:pt>
                <c:pt idx="14">
                  <c:v>IN</c:v>
                </c:pt>
                <c:pt idx="15">
                  <c:v>IL</c:v>
                </c:pt>
                <c:pt idx="16">
                  <c:v>ID</c:v>
                </c:pt>
                <c:pt idx="17">
                  <c:v>GT</c:v>
                </c:pt>
                <c:pt idx="18">
                  <c:v>EG</c:v>
                </c:pt>
                <c:pt idx="19">
                  <c:v>EC</c:v>
                </c:pt>
                <c:pt idx="20">
                  <c:v>DE</c:v>
                </c:pt>
                <c:pt idx="21">
                  <c:v>CU</c:v>
                </c:pt>
                <c:pt idx="22">
                  <c:v>CN</c:v>
                </c:pt>
                <c:pt idx="23">
                  <c:v>CA</c:v>
                </c:pt>
                <c:pt idx="24">
                  <c:v>BO</c:v>
                </c:pt>
                <c:pt idx="25">
                  <c:v>AU</c:v>
                </c:pt>
                <c:pt idx="26">
                  <c:v>AF</c:v>
                </c:pt>
              </c:strCache>
            </c:strRef>
          </c:cat>
          <c:val>
            <c:numRef>
              <c:f>'Values Only'!$K$18:$K$43</c:f>
              <c:numCache>
                <c:ptCount val="27"/>
                <c:pt idx="0">
                  <c:v>0.45543478260869563</c:v>
                </c:pt>
                <c:pt idx="1">
                  <c:v>6.374042553191489</c:v>
                </c:pt>
                <c:pt idx="2">
                  <c:v>0.4153388302981279</c:v>
                </c:pt>
                <c:pt idx="3">
                  <c:v>1.7020526193158787</c:v>
                </c:pt>
                <c:pt idx="4">
                  <c:v>0</c:v>
                </c:pt>
                <c:pt idx="5">
                  <c:v>6.743896315217393</c:v>
                </c:pt>
                <c:pt idx="6">
                  <c:v>14.00609413202934</c:v>
                </c:pt>
                <c:pt idx="7">
                  <c:v>7.606642857142857</c:v>
                </c:pt>
                <c:pt idx="8">
                  <c:v>1.5</c:v>
                </c:pt>
                <c:pt idx="9">
                  <c:v>1.6936708860759495</c:v>
                </c:pt>
                <c:pt idx="10">
                  <c:v>0</c:v>
                </c:pt>
                <c:pt idx="11">
                  <c:v>0.0029287168722300825</c:v>
                </c:pt>
                <c:pt idx="12">
                  <c:v>3.026666666666667</c:v>
                </c:pt>
                <c:pt idx="13">
                  <c:v>5.087569640883978</c:v>
                </c:pt>
                <c:pt idx="14">
                  <c:v>0.3847979274611399</c:v>
                </c:pt>
                <c:pt idx="15">
                  <c:v>0.000776595744680851</c:v>
                </c:pt>
                <c:pt idx="16">
                  <c:v>1.5745070707070707</c:v>
                </c:pt>
                <c:pt idx="17">
                  <c:v>0.38833333333333336</c:v>
                </c:pt>
                <c:pt idx="18">
                  <c:v>1.5839128205128203</c:v>
                </c:pt>
                <c:pt idx="19">
                  <c:v>3.271021276595745</c:v>
                </c:pt>
                <c:pt idx="20">
                  <c:v>0.02703354628400909</c:v>
                </c:pt>
                <c:pt idx="21">
                  <c:v>0.24846625766871164</c:v>
                </c:pt>
                <c:pt idx="22">
                  <c:v>0.7395833333333333</c:v>
                </c:pt>
                <c:pt idx="23">
                  <c:v>1.3244580340524579</c:v>
                </c:pt>
                <c:pt idx="24">
                  <c:v>1.0923076923076922</c:v>
                </c:pt>
                <c:pt idx="25">
                  <c:v>0.7173225813714863</c:v>
                </c:pt>
                <c:pt idx="26">
                  <c:v>0</c:v>
                </c:pt>
              </c:numCache>
            </c:numRef>
          </c:val>
        </c:ser>
        <c:ser>
          <c:idx val="9"/>
          <c:order val="2"/>
          <c:tx>
            <c:v>Production/US Consumption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7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MY</c:v>
                </c:pt>
                <c:pt idx="9">
                  <c:v>MX</c:v>
                </c:pt>
                <c:pt idx="10">
                  <c:v>KP</c:v>
                </c:pt>
                <c:pt idx="11">
                  <c:v>JA</c:v>
                </c:pt>
                <c:pt idx="12">
                  <c:v>IR</c:v>
                </c:pt>
                <c:pt idx="13">
                  <c:v>IQ</c:v>
                </c:pt>
                <c:pt idx="14">
                  <c:v>IN</c:v>
                </c:pt>
                <c:pt idx="15">
                  <c:v>IL</c:v>
                </c:pt>
                <c:pt idx="16">
                  <c:v>ID</c:v>
                </c:pt>
                <c:pt idx="17">
                  <c:v>GT</c:v>
                </c:pt>
                <c:pt idx="18">
                  <c:v>EG</c:v>
                </c:pt>
                <c:pt idx="19">
                  <c:v>EC</c:v>
                </c:pt>
                <c:pt idx="20">
                  <c:v>DE</c:v>
                </c:pt>
                <c:pt idx="21">
                  <c:v>CU</c:v>
                </c:pt>
                <c:pt idx="22">
                  <c:v>CN</c:v>
                </c:pt>
                <c:pt idx="23">
                  <c:v>CA</c:v>
                </c:pt>
                <c:pt idx="24">
                  <c:v>BO</c:v>
                </c:pt>
                <c:pt idx="25">
                  <c:v>AU</c:v>
                </c:pt>
                <c:pt idx="26">
                  <c:v>AF</c:v>
                </c:pt>
              </c:strCache>
            </c:strRef>
          </c:cat>
          <c:val>
            <c:numRef>
              <c:f>'Values Only'!$L$18:$L$43</c:f>
              <c:numCache>
                <c:ptCount val="27"/>
                <c:pt idx="0">
                  <c:v>0.06811445123260965</c:v>
                </c:pt>
                <c:pt idx="1">
                  <c:v>1.796440157501811</c:v>
                </c:pt>
                <c:pt idx="2">
                  <c:v>0.4153388302981279</c:v>
                </c:pt>
                <c:pt idx="3">
                  <c:v>0.6931621552455898</c:v>
                </c:pt>
                <c:pt idx="4">
                  <c:v>0</c:v>
                </c:pt>
                <c:pt idx="5">
                  <c:v>5.448094860151257</c:v>
                </c:pt>
                <c:pt idx="6">
                  <c:v>9.88876602915511</c:v>
                </c:pt>
                <c:pt idx="7">
                  <c:v>0.24378672226191195</c:v>
                </c:pt>
                <c:pt idx="8">
                  <c:v>0.41411523849319143</c:v>
                </c:pt>
                <c:pt idx="9">
                  <c:v>0.4705816887882498</c:v>
                </c:pt>
                <c:pt idx="10">
                  <c:v>0</c:v>
                </c:pt>
                <c:pt idx="11">
                  <c:v>0.001820371919684186</c:v>
                </c:pt>
                <c:pt idx="12">
                  <c:v>0.7813889922571767</c:v>
                </c:pt>
                <c:pt idx="13">
                  <c:v>1.570696335443009</c:v>
                </c:pt>
                <c:pt idx="14">
                  <c:v>0.01033964693821513</c:v>
                </c:pt>
                <c:pt idx="15">
                  <c:v>0.00048327013765214397</c:v>
                </c:pt>
                <c:pt idx="16">
                  <c:v>0.09789697558170202</c:v>
                </c:pt>
                <c:pt idx="17">
                  <c:v>0.026023530132221064</c:v>
                </c:pt>
                <c:pt idx="18">
                  <c:v>0.19135529561857373</c:v>
                </c:pt>
                <c:pt idx="19">
                  <c:v>0.43370932646270727</c:v>
                </c:pt>
                <c:pt idx="20">
                  <c:v>0.013008891585092067</c:v>
                </c:pt>
                <c:pt idx="21">
                  <c:v>0.05131534487339026</c:v>
                </c:pt>
                <c:pt idx="22">
                  <c:v>0.03574575098961587</c:v>
                </c:pt>
                <c:pt idx="23">
                  <c:v>1.1552590920154604</c:v>
                </c:pt>
                <c:pt idx="24">
                  <c:v>0.07376794158144817</c:v>
                </c:pt>
                <c:pt idx="25">
                  <c:v>0.449967267252608</c:v>
                </c:pt>
                <c:pt idx="26">
                  <c:v>0</c:v>
                </c:pt>
              </c:numCache>
            </c:numRef>
          </c:val>
        </c:ser>
        <c:axId val="32839186"/>
        <c:axId val="27117219"/>
      </c:barChart>
      <c:catAx>
        <c:axId val="32839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  <c:max val="15"/>
          <c:min val="0"/>
        </c:scaling>
        <c:axPos val="b"/>
        <c:majorGridlines/>
        <c:minorGridlines/>
        <c:delete val="0"/>
        <c:numFmt formatCode="0%" sourceLinked="0"/>
        <c:majorTickMark val="out"/>
        <c:minorTickMark val="none"/>
        <c:tickLblPos val="nextTo"/>
        <c:crossAx val="3283918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9295"/>
          <c:w val="0.284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 Capita Consumption and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625"/>
          <c:w val="0.82525"/>
          <c:h val="0.8385"/>
        </c:manualLayout>
      </c:layout>
      <c:barChart>
        <c:barDir val="bar"/>
        <c:grouping val="clustered"/>
        <c:varyColors val="0"/>
        <c:ser>
          <c:idx val="2"/>
          <c:order val="0"/>
          <c:tx>
            <c:v>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Only'!$D$18:$D$43</c:f>
              <c:numCache>
                <c:ptCount val="26"/>
                <c:pt idx="0">
                  <c:v>0.45872926734461017</c:v>
                </c:pt>
                <c:pt idx="1">
                  <c:v>0.31742159539818365</c:v>
                </c:pt>
                <c:pt idx="2">
                  <c:v>1.393992937829153</c:v>
                </c:pt>
                <c:pt idx="3">
                  <c:v>0.635850782613987</c:v>
                </c:pt>
                <c:pt idx="4">
                  <c:v>0.0030451113328343817</c:v>
                </c:pt>
                <c:pt idx="5">
                  <c:v>0.530892914491963</c:v>
                </c:pt>
                <c:pt idx="6">
                  <c:v>2.8276922441017467</c:v>
                </c:pt>
                <c:pt idx="7">
                  <c:v>0.012695761563785971</c:v>
                </c:pt>
                <c:pt idx="8">
                  <c:v>0.18743460014485916</c:v>
                </c:pt>
                <c:pt idx="9">
                  <c:v>0.181175799086758</c:v>
                </c:pt>
                <c:pt idx="10">
                  <c:v>0.900365296803653</c:v>
                </c:pt>
                <c:pt idx="11">
                  <c:v>0.15419916609541892</c:v>
                </c:pt>
                <c:pt idx="12">
                  <c:v>0.13296522397386962</c:v>
                </c:pt>
                <c:pt idx="13">
                  <c:v>0.04687169948964879</c:v>
                </c:pt>
                <c:pt idx="14">
                  <c:v>0.6214354041224933</c:v>
                </c:pt>
                <c:pt idx="15">
                  <c:v>0.034538959766738625</c:v>
                </c:pt>
                <c:pt idx="16">
                  <c:v>0.026317247403368323</c:v>
                </c:pt>
                <c:pt idx="17">
                  <c:v>0.08976452976767318</c:v>
                </c:pt>
                <c:pt idx="18">
                  <c:v>0.08317121382851438</c:v>
                </c:pt>
                <c:pt idx="19">
                  <c:v>0.6728766548147791</c:v>
                </c:pt>
                <c:pt idx="20">
                  <c:v>0.1455372266269461</c:v>
                </c:pt>
                <c:pt idx="21">
                  <c:v>0.09173438337398437</c:v>
                </c:pt>
                <c:pt idx="22">
                  <c:v>1.7681585894395668</c:v>
                </c:pt>
                <c:pt idx="23">
                  <c:v>0.03377349438014095</c:v>
                </c:pt>
                <c:pt idx="24">
                  <c:v>1.0322701003943022</c:v>
                </c:pt>
                <c:pt idx="25">
                  <c:v>0.0022531690651926162</c:v>
                </c:pt>
              </c:numCache>
            </c:numRef>
          </c:val>
        </c:ser>
        <c:ser>
          <c:idx val="6"/>
          <c:order val="1"/>
          <c:tx>
            <c:v>Electricity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Only'!$H$18:$H$43</c:f>
              <c:numCache>
                <c:ptCount val="26"/>
                <c:pt idx="0">
                  <c:v>0.14955917693078968</c:v>
                </c:pt>
                <c:pt idx="1">
                  <c:v>0.28183686295008054</c:v>
                </c:pt>
                <c:pt idx="2">
                  <c:v>1</c:v>
                </c:pt>
                <c:pt idx="3">
                  <c:v>0.40725072032391024</c:v>
                </c:pt>
                <c:pt idx="4">
                  <c:v>0.004238090272233508</c:v>
                </c:pt>
                <c:pt idx="5">
                  <c:v>0.8078556676290826</c:v>
                </c:pt>
                <c:pt idx="6">
                  <c:v>0.7060330978742558</c:v>
                </c:pt>
                <c:pt idx="7">
                  <c:v>0.032049187380079135</c:v>
                </c:pt>
                <c:pt idx="8">
                  <c:v>0.27784718545793524</c:v>
                </c:pt>
                <c:pt idx="9">
                  <c:v>0.04686809148890838</c:v>
                </c:pt>
                <c:pt idx="10">
                  <c:v>0.6215595426600786</c:v>
                </c:pt>
                <c:pt idx="11">
                  <c:v>0.2581681692479659</c:v>
                </c:pt>
                <c:pt idx="12">
                  <c:v>0.3087321543121121</c:v>
                </c:pt>
                <c:pt idx="13">
                  <c:v>0.02687032907488649</c:v>
                </c:pt>
                <c:pt idx="14">
                  <c:v>0.6222930539630348</c:v>
                </c:pt>
                <c:pt idx="15">
                  <c:v>0.062176269261044984</c:v>
                </c:pt>
                <c:pt idx="16">
                  <c:v>0.06701338231473235</c:v>
                </c:pt>
                <c:pt idx="17">
                  <c:v>0.12081176005420488</c:v>
                </c:pt>
                <c:pt idx="18">
                  <c:v>0.13259141099628743</c:v>
                </c:pt>
                <c:pt idx="19">
                  <c:v>0.4812129140743588</c:v>
                </c:pt>
                <c:pt idx="20">
                  <c:v>0.20652842504599045</c:v>
                </c:pt>
                <c:pt idx="21">
                  <c:v>0.04833228302821301</c:v>
                </c:pt>
                <c:pt idx="22">
                  <c:v>0.8722504317337275</c:v>
                </c:pt>
                <c:pt idx="23">
                  <c:v>0.06753403102526946</c:v>
                </c:pt>
                <c:pt idx="24">
                  <c:v>0.6272871911996583</c:v>
                </c:pt>
                <c:pt idx="25">
                  <c:v>0.0032781907944162253</c:v>
                </c:pt>
              </c:numCache>
            </c:numRef>
          </c:val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Only'!$I$18:$I$43</c:f>
            </c:numRef>
          </c:val>
        </c:ser>
        <c:ser>
          <c:idx val="8"/>
          <c:order val="3"/>
          <c:tx>
            <c:v>Prodn/Consum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Only'!$K$18:$K$43</c:f>
              <c:numCache>
                <c:ptCount val="26"/>
                <c:pt idx="0">
                  <c:v>0.45543478260869563</c:v>
                </c:pt>
                <c:pt idx="1">
                  <c:v>6.374042553191489</c:v>
                </c:pt>
                <c:pt idx="2">
                  <c:v>0.4153388302981279</c:v>
                </c:pt>
                <c:pt idx="3">
                  <c:v>1.7020526193158787</c:v>
                </c:pt>
                <c:pt idx="4">
                  <c:v>0</c:v>
                </c:pt>
                <c:pt idx="5">
                  <c:v>6.743896315217393</c:v>
                </c:pt>
                <c:pt idx="6">
                  <c:v>14.00609413202934</c:v>
                </c:pt>
                <c:pt idx="7">
                  <c:v>7.606642857142857</c:v>
                </c:pt>
                <c:pt idx="8">
                  <c:v>1.6936708860759495</c:v>
                </c:pt>
                <c:pt idx="9">
                  <c:v>0</c:v>
                </c:pt>
                <c:pt idx="10">
                  <c:v>0.0029287168722300825</c:v>
                </c:pt>
                <c:pt idx="11">
                  <c:v>3.026666666666667</c:v>
                </c:pt>
                <c:pt idx="12">
                  <c:v>5.087569640883978</c:v>
                </c:pt>
                <c:pt idx="13">
                  <c:v>0.3847979274611399</c:v>
                </c:pt>
                <c:pt idx="14">
                  <c:v>0.000776595744680851</c:v>
                </c:pt>
                <c:pt idx="15">
                  <c:v>1.5745070707070707</c:v>
                </c:pt>
                <c:pt idx="16">
                  <c:v>0.38833333333333336</c:v>
                </c:pt>
                <c:pt idx="17">
                  <c:v>1.5839128205128203</c:v>
                </c:pt>
                <c:pt idx="18">
                  <c:v>3.271021276595745</c:v>
                </c:pt>
                <c:pt idx="19">
                  <c:v>0.02703354628400909</c:v>
                </c:pt>
                <c:pt idx="20">
                  <c:v>0.24846625766871164</c:v>
                </c:pt>
                <c:pt idx="21">
                  <c:v>0.7395833333333333</c:v>
                </c:pt>
                <c:pt idx="22">
                  <c:v>1.3244580340524579</c:v>
                </c:pt>
                <c:pt idx="23">
                  <c:v>1.0923076923076922</c:v>
                </c:pt>
                <c:pt idx="24">
                  <c:v>0.7173225813714863</c:v>
                </c:pt>
                <c:pt idx="25">
                  <c:v>0</c:v>
                </c:pt>
              </c:numCache>
            </c:numRef>
          </c:val>
        </c:ser>
        <c:ser>
          <c:idx val="9"/>
          <c:order val="4"/>
          <c:tx>
            <c:v>Prodn/US Cns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'Values Only'!$A$18:$A$43</c:f>
              <c:strCache>
                <c:ptCount val="26"/>
                <c:pt idx="0">
                  <c:v>ZA</c:v>
                </c:pt>
                <c:pt idx="1">
                  <c:v>VE</c:v>
                </c:pt>
                <c:pt idx="2">
                  <c:v>US</c:v>
                </c:pt>
                <c:pt idx="3">
                  <c:v>UK</c:v>
                </c:pt>
                <c:pt idx="4">
                  <c:v>UG</c:v>
                </c:pt>
                <c:pt idx="5">
                  <c:v>SA</c:v>
                </c:pt>
                <c:pt idx="6">
                  <c:v>NO</c:v>
                </c:pt>
                <c:pt idx="7">
                  <c:v>NG</c:v>
                </c:pt>
                <c:pt idx="8">
                  <c:v>MX</c:v>
                </c:pt>
                <c:pt idx="9">
                  <c:v>KP</c:v>
                </c:pt>
                <c:pt idx="10">
                  <c:v>JA</c:v>
                </c:pt>
                <c:pt idx="11">
                  <c:v>IR</c:v>
                </c:pt>
                <c:pt idx="12">
                  <c:v>IQ</c:v>
                </c:pt>
                <c:pt idx="13">
                  <c:v>IN</c:v>
                </c:pt>
                <c:pt idx="14">
                  <c:v>IL</c:v>
                </c:pt>
                <c:pt idx="15">
                  <c:v>ID</c:v>
                </c:pt>
                <c:pt idx="16">
                  <c:v>GT</c:v>
                </c:pt>
                <c:pt idx="17">
                  <c:v>EG</c:v>
                </c:pt>
                <c:pt idx="18">
                  <c:v>EC</c:v>
                </c:pt>
                <c:pt idx="19">
                  <c:v>DE</c:v>
                </c:pt>
                <c:pt idx="20">
                  <c:v>CU</c:v>
                </c:pt>
                <c:pt idx="21">
                  <c:v>CN</c:v>
                </c:pt>
                <c:pt idx="22">
                  <c:v>CA</c:v>
                </c:pt>
                <c:pt idx="23">
                  <c:v>BO</c:v>
                </c:pt>
                <c:pt idx="24">
                  <c:v>AU</c:v>
                </c:pt>
                <c:pt idx="25">
                  <c:v>AF</c:v>
                </c:pt>
              </c:strCache>
            </c:strRef>
          </c:cat>
          <c:val>
            <c:numRef>
              <c:f>'Values Only'!$L$18:$L$43</c:f>
              <c:numCache>
                <c:ptCount val="26"/>
                <c:pt idx="0">
                  <c:v>0.06811445123260965</c:v>
                </c:pt>
                <c:pt idx="1">
                  <c:v>1.796440157501811</c:v>
                </c:pt>
                <c:pt idx="2">
                  <c:v>0.4153388302981279</c:v>
                </c:pt>
                <c:pt idx="3">
                  <c:v>0.6931621552455898</c:v>
                </c:pt>
                <c:pt idx="4">
                  <c:v>0</c:v>
                </c:pt>
                <c:pt idx="5">
                  <c:v>5.448094860151257</c:v>
                </c:pt>
                <c:pt idx="6">
                  <c:v>9.88876602915511</c:v>
                </c:pt>
                <c:pt idx="7">
                  <c:v>0.24378672226191195</c:v>
                </c:pt>
                <c:pt idx="8">
                  <c:v>0.4705816887882498</c:v>
                </c:pt>
                <c:pt idx="9">
                  <c:v>0</c:v>
                </c:pt>
                <c:pt idx="10">
                  <c:v>0.001820371919684186</c:v>
                </c:pt>
                <c:pt idx="11">
                  <c:v>0.7813889922571767</c:v>
                </c:pt>
                <c:pt idx="12">
                  <c:v>1.570696335443009</c:v>
                </c:pt>
                <c:pt idx="13">
                  <c:v>0.01033964693821513</c:v>
                </c:pt>
                <c:pt idx="14">
                  <c:v>0.00048327013765214397</c:v>
                </c:pt>
                <c:pt idx="15">
                  <c:v>0.09789697558170202</c:v>
                </c:pt>
                <c:pt idx="16">
                  <c:v>0.026023530132221064</c:v>
                </c:pt>
                <c:pt idx="17">
                  <c:v>0.19135529561857373</c:v>
                </c:pt>
                <c:pt idx="18">
                  <c:v>0.43370932646270727</c:v>
                </c:pt>
                <c:pt idx="19">
                  <c:v>0.013008891585092067</c:v>
                </c:pt>
                <c:pt idx="20">
                  <c:v>0.05131534487339026</c:v>
                </c:pt>
                <c:pt idx="21">
                  <c:v>0.03574575098961587</c:v>
                </c:pt>
                <c:pt idx="22">
                  <c:v>1.1552590920154604</c:v>
                </c:pt>
                <c:pt idx="23">
                  <c:v>0.07376794158144817</c:v>
                </c:pt>
                <c:pt idx="24">
                  <c:v>0.449967267252608</c:v>
                </c:pt>
                <c:pt idx="25">
                  <c:v>0</c:v>
                </c:pt>
              </c:numCache>
            </c:numRef>
          </c:val>
        </c:ser>
        <c:axId val="42728380"/>
        <c:axId val="49011101"/>
      </c:barChart>
      <c:catAx>
        <c:axId val="42728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 of 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%" sourceLinked="0"/>
        <c:majorTickMark val="out"/>
        <c:minorTickMark val="none"/>
        <c:tickLblPos val="nextTo"/>
        <c:crossAx val="4272838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1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 Capita Consumption and 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625"/>
          <c:w val="0.82525"/>
          <c:h val="0.83825"/>
        </c:manualLayout>
      </c:layout>
      <c:barChart>
        <c:barDir val="bar"/>
        <c:grouping val="clustered"/>
        <c:varyColors val="0"/>
        <c:ser>
          <c:idx val="2"/>
          <c:order val="0"/>
          <c:tx>
            <c:v>Oil Consumption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Only'!$A$36:$A$36</c:f>
              <c:strCache>
                <c:ptCount val="1"/>
                <c:pt idx="0">
                  <c:v>EC</c:v>
                </c:pt>
              </c:strCache>
            </c:strRef>
          </c:cat>
          <c:val>
            <c:numRef>
              <c:f>'Values Only'!$H$36:$H$36</c:f>
              <c:numCache>
                <c:ptCount val="1"/>
                <c:pt idx="0">
                  <c:v>0.13259141099628743</c:v>
                </c:pt>
              </c:numCache>
            </c:numRef>
          </c:val>
        </c:ser>
        <c:ser>
          <c:idx val="6"/>
          <c:order val="1"/>
          <c:tx>
            <c:v>Electricity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Only'!$A$36:$A$36</c:f>
              <c:strCache>
                <c:ptCount val="1"/>
                <c:pt idx="0">
                  <c:v>EC</c:v>
                </c:pt>
              </c:strCache>
            </c:strRef>
          </c:cat>
          <c:val>
            <c:numRef>
              <c:f>'Values Only'!$E$36:$E$36</c:f>
              <c:numCache>
                <c:ptCount val="1"/>
                <c:pt idx="0">
                  <c:v>0.05966401376325179</c:v>
                </c:pt>
              </c:numCache>
            </c:numRef>
          </c:val>
        </c:ser>
        <c:ser>
          <c:idx val="0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Only'!$A$18:$A$43</c:f>
              <c:strCache>
                <c:ptCount val="1"/>
                <c:pt idx="0">
                  <c:v>ZA</c:v>
                </c:pt>
              </c:strCache>
            </c:strRef>
          </c:cat>
          <c:val>
            <c:numRef>
              <c:f>'Values Only'!$I$18:$I$43</c:f>
            </c:numRef>
          </c:val>
        </c:ser>
        <c:ser>
          <c:idx val="8"/>
          <c:order val="3"/>
          <c:tx>
            <c:v>Prodn/Consum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Only'!$A$36:$A$36</c:f>
              <c:strCache>
                <c:ptCount val="1"/>
                <c:pt idx="0">
                  <c:v>EC</c:v>
                </c:pt>
              </c:strCache>
            </c:strRef>
          </c:cat>
          <c:val>
            <c:numRef>
              <c:f>'Values Only'!$K$36:$K$36</c:f>
              <c:numCache>
                <c:ptCount val="1"/>
                <c:pt idx="0">
                  <c:v>3.271021276595745</c:v>
                </c:pt>
              </c:numCache>
            </c:numRef>
          </c:val>
        </c:ser>
        <c:ser>
          <c:idx val="9"/>
          <c:order val="4"/>
          <c:tx>
            <c:v>Prodn/US Cns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'Values Only'!$A$36:$A$36</c:f>
              <c:strCache>
                <c:ptCount val="1"/>
                <c:pt idx="0">
                  <c:v>EC</c:v>
                </c:pt>
              </c:strCache>
            </c:strRef>
          </c:cat>
          <c:val>
            <c:numRef>
              <c:f>'Values Only'!$L$36:$L$36</c:f>
              <c:numCache>
                <c:ptCount val="1"/>
                <c:pt idx="0">
                  <c:v>0.43370932646270727</c:v>
                </c:pt>
              </c:numCache>
            </c:numRef>
          </c:val>
        </c:ser>
        <c:axId val="38446726"/>
        <c:axId val="10476215"/>
      </c:barChart>
      <c:catAx>
        <c:axId val="38446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Ecuador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  <c:max val="4"/>
          <c:min val="0"/>
        </c:scaling>
        <c:axPos val="b"/>
        <c:majorGridlines/>
        <c:minorGridlines/>
        <c:delete val="0"/>
        <c:numFmt formatCode="0%" sourceLinked="0"/>
        <c:majorTickMark val="out"/>
        <c:minorTickMark val="none"/>
        <c:tickLblPos val="nextTo"/>
        <c:crossAx val="3844672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0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1">
      <selection activeCell="A36" sqref="A36:IV36"/>
    </sheetView>
  </sheetViews>
  <sheetFormatPr defaultColWidth="9.140625" defaultRowHeight="12.75"/>
  <cols>
    <col min="1" max="1" width="4.140625" style="10" customWidth="1"/>
    <col min="2" max="2" width="17.140625" style="0" customWidth="1"/>
    <col min="3" max="3" width="13.7109375" style="4" customWidth="1"/>
    <col min="4" max="4" width="11.7109375" style="0" customWidth="1"/>
    <col min="5" max="5" width="7.00390625" style="0" bestFit="1" customWidth="1"/>
    <col min="6" max="6" width="9.00390625" style="24" customWidth="1"/>
    <col min="8" max="8" width="7.00390625" style="0" customWidth="1"/>
    <col min="9" max="9" width="13.28125" style="0" bestFit="1" customWidth="1"/>
    <col min="10" max="10" width="8.7109375" style="26" customWidth="1"/>
    <col min="11" max="11" width="10.140625" style="0" customWidth="1"/>
    <col min="12" max="12" width="10.00390625" style="0" customWidth="1"/>
    <col min="13" max="13" width="11.28125" style="0" customWidth="1"/>
    <col min="14" max="254" width="9.00390625" style="0" bestFit="1" customWidth="1"/>
    <col min="255" max="16384" width="9.00390625" style="0" customWidth="1"/>
  </cols>
  <sheetData>
    <row r="1" spans="2:3" ht="12.75">
      <c r="B1" s="7" t="s">
        <v>0</v>
      </c>
      <c r="C1" s="6"/>
    </row>
    <row r="2" spans="2:3" ht="12.75">
      <c r="B2" s="4">
        <f>5500000/10000</f>
        <v>550</v>
      </c>
      <c r="C2" s="4" t="s">
        <v>1</v>
      </c>
    </row>
    <row r="3" spans="2:3" ht="12.75">
      <c r="B3" s="4">
        <v>10</v>
      </c>
      <c r="C3" s="4" t="s">
        <v>2</v>
      </c>
    </row>
    <row r="4" spans="2:3" ht="12.75">
      <c r="B4" s="4">
        <v>5</v>
      </c>
      <c r="C4" s="4" t="s">
        <v>3</v>
      </c>
    </row>
    <row r="5" spans="2:3" ht="12.75">
      <c r="B5" s="4">
        <f>5*30</f>
        <v>150</v>
      </c>
      <c r="C5" s="4" t="s">
        <v>4</v>
      </c>
    </row>
    <row r="6" spans="2:3" ht="12.75">
      <c r="B6" s="4">
        <f>8760/12</f>
        <v>730</v>
      </c>
      <c r="C6" s="4" t="s">
        <v>5</v>
      </c>
    </row>
    <row r="7" spans="2:3" ht="12.75">
      <c r="B7" s="5">
        <f>+D36</f>
        <v>0.012695761563785971</v>
      </c>
      <c r="C7" s="4" t="s">
        <v>6</v>
      </c>
    </row>
    <row r="8" spans="2:4" ht="12.75">
      <c r="B8" s="4">
        <f>B7*1000/10*24/5</f>
        <v>6.093965550617267</v>
      </c>
      <c r="C8" s="4" t="s">
        <v>7</v>
      </c>
      <c r="D8" s="3"/>
    </row>
    <row r="9" spans="2:3" ht="12.75">
      <c r="B9" s="3">
        <f>+B8*4</f>
        <v>24.37586220246907</v>
      </c>
      <c r="C9" s="4" t="s">
        <v>8</v>
      </c>
    </row>
    <row r="10" ht="12.75">
      <c r="B10" s="3"/>
    </row>
    <row r="11" spans="2:3" ht="12.75">
      <c r="B11" s="4">
        <f>5280^3</f>
        <v>147197952000</v>
      </c>
      <c r="C11" s="4" t="s">
        <v>9</v>
      </c>
    </row>
    <row r="12" spans="2:3" ht="12.75">
      <c r="B12" s="8">
        <v>5.6145833</v>
      </c>
      <c r="C12" s="4" t="s">
        <v>10</v>
      </c>
    </row>
    <row r="13" spans="2:11" ht="12.75">
      <c r="B13" s="4">
        <f>B11/B12</f>
        <v>26217075094.424194</v>
      </c>
      <c r="C13" s="4" t="s">
        <v>11</v>
      </c>
      <c r="F13" s="112"/>
      <c r="K13" s="113"/>
    </row>
    <row r="14" spans="2:8" ht="12.75">
      <c r="B14" s="4">
        <f>0.621^3*B13</f>
        <v>6278545394.07957</v>
      </c>
      <c r="C14" s="4" t="s">
        <v>12</v>
      </c>
      <c r="D14" s="2"/>
      <c r="E14" s="2"/>
      <c r="F14" s="25"/>
      <c r="G14" s="2"/>
      <c r="H14" s="2"/>
    </row>
    <row r="15" spans="2:8" ht="12.75">
      <c r="B15" s="4"/>
      <c r="D15" s="2"/>
      <c r="E15" s="2"/>
      <c r="F15" s="25"/>
      <c r="G15" s="2"/>
      <c r="H15" s="2"/>
    </row>
    <row r="16" spans="2:12" ht="12.75">
      <c r="B16" s="48" t="s">
        <v>13</v>
      </c>
      <c r="C16" s="115" t="s">
        <v>42</v>
      </c>
      <c r="D16" s="116"/>
      <c r="E16" s="117"/>
      <c r="F16" s="118" t="s">
        <v>43</v>
      </c>
      <c r="G16" s="119"/>
      <c r="H16" s="120"/>
      <c r="I16" s="121" t="s">
        <v>44</v>
      </c>
      <c r="J16" s="122"/>
      <c r="K16" s="122"/>
      <c r="L16" s="123"/>
    </row>
    <row r="17" spans="1:12" ht="12.75">
      <c r="A17" s="11"/>
      <c r="B17" s="47"/>
      <c r="C17" s="52" t="s">
        <v>14</v>
      </c>
      <c r="D17" s="53" t="s">
        <v>15</v>
      </c>
      <c r="E17" s="54" t="s">
        <v>16</v>
      </c>
      <c r="F17" s="55" t="s">
        <v>47</v>
      </c>
      <c r="G17" s="53" t="s">
        <v>48</v>
      </c>
      <c r="H17" s="54" t="s">
        <v>16</v>
      </c>
      <c r="I17" s="56" t="s">
        <v>41</v>
      </c>
      <c r="J17" s="55" t="s">
        <v>47</v>
      </c>
      <c r="K17" s="57" t="s">
        <v>45</v>
      </c>
      <c r="L17" s="54" t="s">
        <v>49</v>
      </c>
    </row>
    <row r="18" spans="1:12" ht="12.75">
      <c r="A18" s="12" t="s">
        <v>40</v>
      </c>
      <c r="B18" s="14">
        <v>25838797</v>
      </c>
      <c r="C18" s="39">
        <f>510*10^6/B18</f>
        <v>19.73776101108732</v>
      </c>
      <c r="D18" s="40">
        <f aca="true" t="shared" si="0" ref="D18:D41">C18/8760</f>
        <v>0.0022531690651926162</v>
      </c>
      <c r="E18" s="63">
        <f>+D18/D$41</f>
        <v>0.0016163418078010117</v>
      </c>
      <c r="F18" s="30">
        <v>2.19</v>
      </c>
      <c r="G18" s="31">
        <f aca="true" t="shared" si="1" ref="G18:G42">+F18*10^6/B18</f>
        <v>0.08475626787113967</v>
      </c>
      <c r="H18" s="62">
        <f>+G18/G$41</f>
        <v>0.0032781907944162253</v>
      </c>
      <c r="I18" s="44">
        <v>0</v>
      </c>
      <c r="J18" s="49">
        <f aca="true" t="shared" si="2" ref="J18:J43">+I18*365/10^3</f>
        <v>0</v>
      </c>
      <c r="K18" s="59">
        <f aca="true" t="shared" si="3" ref="K18:K43">+I18*10^3*365/B18/G18</f>
        <v>0</v>
      </c>
      <c r="L18" s="27">
        <f>+I18*10^3*365/B18/G$41</f>
        <v>0</v>
      </c>
    </row>
    <row r="19" spans="1:12" ht="12.75">
      <c r="A19" s="13" t="s">
        <v>33</v>
      </c>
      <c r="B19" s="14">
        <v>19169083</v>
      </c>
      <c r="C19" s="41">
        <f>173.34*10^9/B19</f>
        <v>9042.686079454088</v>
      </c>
      <c r="D19" s="20">
        <f t="shared" si="0"/>
        <v>1.0322701003943022</v>
      </c>
      <c r="E19" s="17">
        <f>+D19/D$41</f>
        <v>0.7405131492286059</v>
      </c>
      <c r="F19" s="32">
        <v>310.889</v>
      </c>
      <c r="G19" s="22">
        <f t="shared" si="1"/>
        <v>16.21825102431869</v>
      </c>
      <c r="H19" s="21">
        <f>+G19/G$41</f>
        <v>0.6272871911996583</v>
      </c>
      <c r="I19" s="45">
        <v>610.98</v>
      </c>
      <c r="J19" s="50">
        <f t="shared" si="2"/>
        <v>223.0077</v>
      </c>
      <c r="K19" s="28">
        <f>+I19*10^3*365/B19/G19</f>
        <v>0.7173225813714863</v>
      </c>
      <c r="L19" s="29">
        <f>+I19*10^3*365/B19/G$41</f>
        <v>0.449967267252608</v>
      </c>
    </row>
    <row r="20" spans="1:12" ht="12.75">
      <c r="A20" s="12" t="s">
        <v>17</v>
      </c>
      <c r="B20" s="4">
        <v>8152620</v>
      </c>
      <c r="C20" s="42">
        <f>2412000000/B20</f>
        <v>295.8558107700347</v>
      </c>
      <c r="D20" s="20">
        <f t="shared" si="0"/>
        <v>0.03377349438014095</v>
      </c>
      <c r="E20" s="60">
        <f>+D20/D$41</f>
        <v>0.02422788054632183</v>
      </c>
      <c r="F20" s="32">
        <v>14.235</v>
      </c>
      <c r="G20" s="22">
        <f t="shared" si="1"/>
        <v>1.7460644553530031</v>
      </c>
      <c r="H20" s="21">
        <f>+G20/G$41</f>
        <v>0.06753403102526946</v>
      </c>
      <c r="I20" s="45">
        <v>42.6</v>
      </c>
      <c r="J20" s="50">
        <f t="shared" si="2"/>
        <v>15.549</v>
      </c>
      <c r="K20" s="64">
        <f t="shared" si="3"/>
        <v>1.0923076923076922</v>
      </c>
      <c r="L20" s="29">
        <f>+I20*10^3*365/B20/G$41</f>
        <v>0.07376794158144817</v>
      </c>
    </row>
    <row r="21" spans="1:12" ht="12.75">
      <c r="A21" s="12" t="s">
        <v>18</v>
      </c>
      <c r="B21" s="4">
        <v>31281092</v>
      </c>
      <c r="C21" s="42">
        <f>484515000000/B21</f>
        <v>15489.069243490605</v>
      </c>
      <c r="D21" s="20">
        <f t="shared" si="0"/>
        <v>1.7681585894395668</v>
      </c>
      <c r="E21" s="65">
        <f>+D21/D$41</f>
        <v>1.2684128745968377</v>
      </c>
      <c r="F21" s="32">
        <v>705.441</v>
      </c>
      <c r="G21" s="22">
        <f t="shared" si="1"/>
        <v>22.55167434691858</v>
      </c>
      <c r="H21" s="21">
        <f>+G21/G$41</f>
        <v>0.8722504317337275</v>
      </c>
      <c r="I21" s="45">
        <v>2559.8</v>
      </c>
      <c r="J21" s="50">
        <f t="shared" si="2"/>
        <v>934.3270000000001</v>
      </c>
      <c r="K21" s="64">
        <f t="shared" si="3"/>
        <v>1.3244580340524579</v>
      </c>
      <c r="L21" s="29">
        <f>+I21*10^3*365/B21/G$41</f>
        <v>1.1552590920154604</v>
      </c>
    </row>
    <row r="22" spans="1:12" ht="12.75">
      <c r="A22" s="12" t="s">
        <v>46</v>
      </c>
      <c r="B22" s="4">
        <v>1261832482</v>
      </c>
      <c r="C22" s="42">
        <f>1.014*10^12/B22</f>
        <v>803.5931983561031</v>
      </c>
      <c r="D22" s="20">
        <f t="shared" si="0"/>
        <v>0.09173438337398437</v>
      </c>
      <c r="E22" s="17">
        <f>+D22/D$41</f>
        <v>0.06580692117195452</v>
      </c>
      <c r="F22" s="32">
        <v>1576.8</v>
      </c>
      <c r="G22" s="22">
        <f t="shared" si="1"/>
        <v>1.2496111983904374</v>
      </c>
      <c r="H22" s="21">
        <f>+G22/G$41</f>
        <v>0.04833228302821301</v>
      </c>
      <c r="I22" s="45">
        <v>3195</v>
      </c>
      <c r="J22" s="50">
        <f t="shared" si="2"/>
        <v>1166.175</v>
      </c>
      <c r="K22" s="28">
        <f t="shared" si="3"/>
        <v>0.7395833333333333</v>
      </c>
      <c r="L22" s="29">
        <f>+I22*10^3*365/B22/G$41</f>
        <v>0.03574575098961587</v>
      </c>
    </row>
    <row r="23" spans="1:12" ht="12.75">
      <c r="A23" s="12" t="s">
        <v>19</v>
      </c>
      <c r="B23" s="4">
        <v>11141997</v>
      </c>
      <c r="C23" s="42">
        <f>14.205*10^9/B23</f>
        <v>1274.9061052520478</v>
      </c>
      <c r="D23" s="20">
        <f t="shared" si="0"/>
        <v>0.1455372266269461</v>
      </c>
      <c r="E23" s="17">
        <f>+D23/D$41</f>
        <v>0.10440313051627746</v>
      </c>
      <c r="F23" s="32">
        <v>59.495</v>
      </c>
      <c r="G23" s="22">
        <f t="shared" si="1"/>
        <v>5.339707056104934</v>
      </c>
      <c r="H23" s="21">
        <f>+G23/G$41</f>
        <v>0.20652842504599045</v>
      </c>
      <c r="I23" s="45">
        <v>40.5</v>
      </c>
      <c r="J23" s="50">
        <f t="shared" si="2"/>
        <v>14.7825</v>
      </c>
      <c r="K23" s="28">
        <f t="shared" si="3"/>
        <v>0.24846625766871164</v>
      </c>
      <c r="L23" s="29">
        <f>+I23*10^3*365/B23/G$41</f>
        <v>0.05131534487339026</v>
      </c>
    </row>
    <row r="24" spans="1:12" ht="12.75">
      <c r="A24" s="12" t="s">
        <v>20</v>
      </c>
      <c r="B24" s="4">
        <v>82797408</v>
      </c>
      <c r="C24" s="42">
        <f>488.041*10^9/B24</f>
        <v>5894.399496177465</v>
      </c>
      <c r="D24" s="20">
        <f t="shared" si="0"/>
        <v>0.6728766548147791</v>
      </c>
      <c r="E24" s="17">
        <f>+D24/D$41</f>
        <v>0.48269731973150537</v>
      </c>
      <c r="F24" s="32">
        <v>1030.129</v>
      </c>
      <c r="G24" s="22">
        <f t="shared" si="1"/>
        <v>12.441560972536724</v>
      </c>
      <c r="H24" s="21">
        <f>+G24/G$41</f>
        <v>0.4812129140743588</v>
      </c>
      <c r="I24" s="45">
        <v>76.29599999999999</v>
      </c>
      <c r="J24" s="50">
        <f t="shared" si="2"/>
        <v>27.848039999999997</v>
      </c>
      <c r="K24" s="28">
        <f t="shared" si="3"/>
        <v>0.02703354628400909</v>
      </c>
      <c r="L24" s="29">
        <f>+I24*10^3*365/B24/G$41</f>
        <v>0.013008891585092067</v>
      </c>
    </row>
    <row r="25" spans="1:12" ht="12.75">
      <c r="A25" s="12" t="s">
        <v>51</v>
      </c>
      <c r="B25" s="101">
        <v>13710234</v>
      </c>
      <c r="C25" s="42">
        <f>9.989*10^9/B25</f>
        <v>728.579833137786</v>
      </c>
      <c r="D25" s="20">
        <f t="shared" si="0"/>
        <v>0.08317121382851438</v>
      </c>
      <c r="E25" s="17">
        <f>+D25/D$41</f>
        <v>0.05966401376325179</v>
      </c>
      <c r="F25" s="32">
        <v>47.085</v>
      </c>
      <c r="G25" s="22">
        <f>+F25*10^6/B25</f>
        <v>3.43429586978603</v>
      </c>
      <c r="H25" s="21">
        <f>+G25/G$41</f>
        <v>0.13283120397362116</v>
      </c>
      <c r="I25" s="101">
        <v>421.2</v>
      </c>
      <c r="J25" s="50">
        <f t="shared" si="2"/>
        <v>153.738</v>
      </c>
      <c r="K25" s="28">
        <f>+I25*10^3*365/B25/G25</f>
        <v>3.2651162790697676</v>
      </c>
      <c r="L25" s="29">
        <f>+I25*10^3*365/B25/G$41</f>
        <v>0.43370932646270727</v>
      </c>
    </row>
    <row r="26" spans="1:12" ht="12.75">
      <c r="A26" s="12" t="s">
        <v>21</v>
      </c>
      <c r="B26" s="4">
        <v>68359979</v>
      </c>
      <c r="C26" s="42">
        <f>53.754*10^9/B26</f>
        <v>786.3372807648171</v>
      </c>
      <c r="D26" s="20">
        <f t="shared" si="0"/>
        <v>0.08976452976767318</v>
      </c>
      <c r="E26" s="17">
        <f>+D26/D$41</f>
        <v>0.06439381960389436</v>
      </c>
      <c r="F26" s="32">
        <v>213.525</v>
      </c>
      <c r="G26" s="22">
        <f t="shared" si="1"/>
        <v>3.123538115773851</v>
      </c>
      <c r="H26" s="21">
        <f>+G26/G$41</f>
        <v>0.12081176005420488</v>
      </c>
      <c r="I26" s="45">
        <v>926.589</v>
      </c>
      <c r="J26" s="50">
        <f t="shared" si="2"/>
        <v>338.204985</v>
      </c>
      <c r="K26" s="64">
        <f t="shared" si="3"/>
        <v>1.5839128205128203</v>
      </c>
      <c r="L26" s="29">
        <f>+I26*10^3*365/B26/G$41</f>
        <v>0.19135529561857373</v>
      </c>
    </row>
    <row r="27" spans="1:12" ht="12.75">
      <c r="A27" s="12" t="s">
        <v>22</v>
      </c>
      <c r="B27" s="4">
        <v>12639939</v>
      </c>
      <c r="C27" s="42">
        <f>2.914*10^9/B27</f>
        <v>230.53908725350652</v>
      </c>
      <c r="D27" s="20">
        <f t="shared" si="0"/>
        <v>0.026317247403368323</v>
      </c>
      <c r="E27" s="60">
        <f>+D27/D$41</f>
        <v>0.0188790392613838</v>
      </c>
      <c r="F27" s="32">
        <v>21.9</v>
      </c>
      <c r="G27" s="22">
        <f t="shared" si="1"/>
        <v>1.7326032981646509</v>
      </c>
      <c r="H27" s="21">
        <f>+G27/G$41</f>
        <v>0.06701338231473235</v>
      </c>
      <c r="I27" s="45">
        <v>23.3</v>
      </c>
      <c r="J27" s="50">
        <f t="shared" si="2"/>
        <v>8.5045</v>
      </c>
      <c r="K27" s="28">
        <f t="shared" si="3"/>
        <v>0.38833333333333336</v>
      </c>
      <c r="L27" s="29">
        <f>+I27*10^3*365/B27/G$41</f>
        <v>0.026023530132221064</v>
      </c>
    </row>
    <row r="28" spans="1:12" ht="12.75">
      <c r="A28" s="12" t="s">
        <v>32</v>
      </c>
      <c r="B28" s="4">
        <v>224784210</v>
      </c>
      <c r="C28" s="42">
        <f>68.011*10^9/B28</f>
        <v>302.56128755663036</v>
      </c>
      <c r="D28" s="20">
        <f t="shared" si="0"/>
        <v>0.034538959766738625</v>
      </c>
      <c r="E28" s="60">
        <f>+D28/D$41</f>
        <v>0.024776997665802884</v>
      </c>
      <c r="F28" s="32">
        <v>361.35</v>
      </c>
      <c r="G28" s="22">
        <f t="shared" si="1"/>
        <v>1.6075417396978195</v>
      </c>
      <c r="H28" s="21">
        <f>+G28/G$41</f>
        <v>0.062176269261044984</v>
      </c>
      <c r="I28" s="45">
        <v>1558.762</v>
      </c>
      <c r="J28" s="50">
        <f t="shared" si="2"/>
        <v>568.94813</v>
      </c>
      <c r="K28" s="64">
        <f t="shared" si="3"/>
        <v>1.5745070707070707</v>
      </c>
      <c r="L28" s="29">
        <f>+I28*10^3*365/B28/G$41</f>
        <v>0.09789697558170202</v>
      </c>
    </row>
    <row r="29" spans="1:12" ht="12.75">
      <c r="A29" s="12" t="s">
        <v>38</v>
      </c>
      <c r="B29" s="19">
        <v>5842454</v>
      </c>
      <c r="C29" s="42">
        <f>31.805*10^9/B29</f>
        <v>5443.7741401130415</v>
      </c>
      <c r="D29" s="20">
        <f t="shared" si="0"/>
        <v>0.6214354041224933</v>
      </c>
      <c r="E29" s="17">
        <f>+D29/D$41</f>
        <v>0.4457952312801861</v>
      </c>
      <c r="F29" s="32">
        <v>94</v>
      </c>
      <c r="G29" s="22">
        <f t="shared" si="1"/>
        <v>16.089129670511742</v>
      </c>
      <c r="H29" s="21">
        <f>+G29/G$41</f>
        <v>0.6222930539630348</v>
      </c>
      <c r="I29" s="45">
        <v>0.2</v>
      </c>
      <c r="J29" s="50">
        <f t="shared" si="2"/>
        <v>0.073</v>
      </c>
      <c r="K29" s="58">
        <f t="shared" si="3"/>
        <v>0.000776595744680851</v>
      </c>
      <c r="L29" s="29">
        <f>+I29*10^3*365/B29/G$41</f>
        <v>0.00048327013765214397</v>
      </c>
    </row>
    <row r="30" spans="1:12" ht="12.75">
      <c r="A30" s="12" t="s">
        <v>34</v>
      </c>
      <c r="B30" s="4">
        <v>1014003817</v>
      </c>
      <c r="C30" s="42">
        <f>416.346*10^9/B30</f>
        <v>410.59608752932337</v>
      </c>
      <c r="D30" s="20">
        <f t="shared" si="0"/>
        <v>0.04687169948964879</v>
      </c>
      <c r="E30" s="60">
        <f>+D30/D$41</f>
        <v>0.033624058069219115</v>
      </c>
      <c r="F30" s="32">
        <v>704.45</v>
      </c>
      <c r="G30" s="22">
        <f t="shared" si="1"/>
        <v>0.6947212507386449</v>
      </c>
      <c r="H30" s="61">
        <f>+G30/G$41</f>
        <v>0.02687032907488649</v>
      </c>
      <c r="I30" s="45">
        <v>742.66</v>
      </c>
      <c r="J30" s="50">
        <f t="shared" si="2"/>
        <v>271.07089999999994</v>
      </c>
      <c r="K30" s="28">
        <f t="shared" si="3"/>
        <v>0.3847979274611399</v>
      </c>
      <c r="L30" s="29">
        <f>+I30*10^3*365/B30/G$41</f>
        <v>0.01033964693821513</v>
      </c>
    </row>
    <row r="31" spans="1:12" s="1" customFormat="1" ht="12.75">
      <c r="A31" s="12" t="s">
        <v>37</v>
      </c>
      <c r="B31" s="19">
        <v>22675617</v>
      </c>
      <c r="C31" s="42">
        <f>26.412*10^9/B31</f>
        <v>1164.7753620110977</v>
      </c>
      <c r="D31" s="20">
        <f t="shared" si="0"/>
        <v>0.13296522397386962</v>
      </c>
      <c r="E31" s="17">
        <f>+D31/D$41</f>
        <v>0.09538443156027364</v>
      </c>
      <c r="F31" s="32">
        <v>181</v>
      </c>
      <c r="G31" s="22">
        <f>+F31*10^6/B31</f>
        <v>7.982142227927028</v>
      </c>
      <c r="H31" s="21">
        <f>+G31/G$41</f>
        <v>0.3087321543121121</v>
      </c>
      <c r="I31" s="45">
        <v>2522.877</v>
      </c>
      <c r="J31" s="50">
        <f t="shared" si="2"/>
        <v>920.850105</v>
      </c>
      <c r="K31" s="64">
        <f t="shared" si="3"/>
        <v>5.087569640883978</v>
      </c>
      <c r="L31" s="29">
        <f>+I31*10^3*365/B31/G$41</f>
        <v>1.570696335443009</v>
      </c>
    </row>
    <row r="32" spans="1:12" ht="12.75">
      <c r="A32" s="12" t="s">
        <v>36</v>
      </c>
      <c r="B32" s="19">
        <v>65619636</v>
      </c>
      <c r="C32" s="42">
        <f>88.638*10^9/B32</f>
        <v>1350.7846949958698</v>
      </c>
      <c r="D32" s="20">
        <f t="shared" si="0"/>
        <v>0.15419916609541892</v>
      </c>
      <c r="E32" s="17">
        <f>+D32/D$41</f>
        <v>0.11061689188723674</v>
      </c>
      <c r="F32" s="32">
        <v>438</v>
      </c>
      <c r="G32" s="22">
        <f>+F32*10^6/B32</f>
        <v>6.674831295924896</v>
      </c>
      <c r="H32" s="21">
        <f>+G32/G$41</f>
        <v>0.2581681692479659</v>
      </c>
      <c r="I32" s="45">
        <v>3632</v>
      </c>
      <c r="J32" s="50">
        <f t="shared" si="2"/>
        <v>1325.68</v>
      </c>
      <c r="K32" s="28">
        <f t="shared" si="3"/>
        <v>3.026666666666667</v>
      </c>
      <c r="L32" s="29">
        <f>+I32*10^3*365/B32/G$41</f>
        <v>0.7813889922571767</v>
      </c>
    </row>
    <row r="33" spans="1:12" ht="12.75">
      <c r="A33" s="12" t="s">
        <v>50</v>
      </c>
      <c r="B33" s="4">
        <v>126549976</v>
      </c>
      <c r="C33" s="42">
        <v>7887.2</v>
      </c>
      <c r="D33" s="20">
        <f t="shared" si="0"/>
        <v>0.900365296803653</v>
      </c>
      <c r="E33" s="17">
        <f>+D33/D$41</f>
        <v>0.6458894248099851</v>
      </c>
      <c r="F33" s="32">
        <v>2033.679</v>
      </c>
      <c r="G33" s="22">
        <f t="shared" si="1"/>
        <v>16.070165038988232</v>
      </c>
      <c r="H33" s="21">
        <f>+G33/G$41</f>
        <v>0.6215595426600786</v>
      </c>
      <c r="I33" s="45">
        <v>16.318</v>
      </c>
      <c r="J33" s="50">
        <f t="shared" si="2"/>
        <v>5.95607</v>
      </c>
      <c r="K33" s="58">
        <f t="shared" si="3"/>
        <v>0.0029287168722300825</v>
      </c>
      <c r="L33" s="29">
        <f>+I33*10^3*365/B33/G$41</f>
        <v>0.001820371919684186</v>
      </c>
    </row>
    <row r="34" spans="1:12" ht="12.75">
      <c r="A34" s="12" t="s">
        <v>24</v>
      </c>
      <c r="B34" s="4">
        <v>21687550</v>
      </c>
      <c r="C34" s="42">
        <v>1587.1</v>
      </c>
      <c r="D34" s="20">
        <f t="shared" si="0"/>
        <v>0.181175799086758</v>
      </c>
      <c r="E34" s="17">
        <f>+D34/D$41</f>
        <v>0.1299689504660624</v>
      </c>
      <c r="F34" s="32">
        <v>26.28</v>
      </c>
      <c r="G34" s="22">
        <f t="shared" si="1"/>
        <v>1.2117551314002735</v>
      </c>
      <c r="H34" s="21">
        <f>+G34/G$41</f>
        <v>0.04686809148890838</v>
      </c>
      <c r="I34" s="45">
        <v>0</v>
      </c>
      <c r="J34" s="50">
        <f t="shared" si="2"/>
        <v>0</v>
      </c>
      <c r="K34" s="58">
        <f t="shared" si="3"/>
        <v>0</v>
      </c>
      <c r="L34" s="29">
        <f>+I34*10^3*365/B34/G$41</f>
        <v>0</v>
      </c>
    </row>
    <row r="35" spans="1:12" ht="12.75">
      <c r="A35" s="12" t="s">
        <v>25</v>
      </c>
      <c r="B35" s="4">
        <v>100349766</v>
      </c>
      <c r="C35" s="42">
        <f>164.767*10^9/B35</f>
        <v>1641.9270972689662</v>
      </c>
      <c r="D35" s="20">
        <f t="shared" si="0"/>
        <v>0.18743460014485916</v>
      </c>
      <c r="E35" s="17">
        <f>+D35/D$41</f>
        <v>0.13445878745752374</v>
      </c>
      <c r="F35" s="32">
        <v>720.875</v>
      </c>
      <c r="G35" s="22">
        <f t="shared" si="1"/>
        <v>7.183624125242106</v>
      </c>
      <c r="H35" s="21">
        <f>+G35/G$41</f>
        <v>0.27784718545793524</v>
      </c>
      <c r="I35" s="45">
        <v>3345</v>
      </c>
      <c r="J35" s="50">
        <f t="shared" si="2"/>
        <v>1220.925</v>
      </c>
      <c r="K35" s="64">
        <f t="shared" si="3"/>
        <v>1.6936708860759495</v>
      </c>
      <c r="L35" s="29">
        <f>+I35*10^3*365/B35/G$41</f>
        <v>0.4705816887882498</v>
      </c>
    </row>
    <row r="36" spans="1:12" ht="12.75">
      <c r="A36" s="12" t="s">
        <v>26</v>
      </c>
      <c r="B36" s="4">
        <v>123337822</v>
      </c>
      <c r="C36" s="42">
        <f>13717000000/B36</f>
        <v>111.2148712987651</v>
      </c>
      <c r="D36" s="20">
        <f t="shared" si="0"/>
        <v>0.012695761563785971</v>
      </c>
      <c r="E36" s="60">
        <f>+D36/D$41</f>
        <v>0.009107479112166032</v>
      </c>
      <c r="F36" s="32">
        <v>102.2</v>
      </c>
      <c r="G36" s="22">
        <f t="shared" si="1"/>
        <v>0.82861849141458</v>
      </c>
      <c r="H36" s="61">
        <f>+G36/G$41</f>
        <v>0.032049187380079135</v>
      </c>
      <c r="I36" s="45">
        <v>2129.86</v>
      </c>
      <c r="J36" s="50">
        <f t="shared" si="2"/>
        <v>777.3989</v>
      </c>
      <c r="K36" s="64">
        <f t="shared" si="3"/>
        <v>7.606642857142857</v>
      </c>
      <c r="L36" s="29">
        <f>+I36*10^3*365/B36/G$41</f>
        <v>0.24378672226191195</v>
      </c>
    </row>
    <row r="37" spans="1:12" ht="12.75">
      <c r="A37" s="12" t="s">
        <v>35</v>
      </c>
      <c r="B37" s="4">
        <v>4481162</v>
      </c>
      <c r="C37" s="42">
        <f>111.001*10^9/B37</f>
        <v>24770.5840583313</v>
      </c>
      <c r="D37" s="20">
        <f t="shared" si="0"/>
        <v>2.8276922441017467</v>
      </c>
      <c r="E37" s="65">
        <f>+D37/D$41</f>
        <v>2.028483909326883</v>
      </c>
      <c r="F37" s="32">
        <v>81.8</v>
      </c>
      <c r="G37" s="22">
        <f t="shared" si="1"/>
        <v>18.25419388988838</v>
      </c>
      <c r="H37" s="21">
        <f>+G37/G$41</f>
        <v>0.7060330978742558</v>
      </c>
      <c r="I37" s="45">
        <v>3138.9</v>
      </c>
      <c r="J37" s="50">
        <f t="shared" si="2"/>
        <v>1145.6985</v>
      </c>
      <c r="K37" s="64">
        <f t="shared" si="3"/>
        <v>14.00609413202934</v>
      </c>
      <c r="L37" s="29">
        <f>+I37*10^3*365/B37/G$41</f>
        <v>9.88876602915511</v>
      </c>
    </row>
    <row r="38" spans="1:12" ht="12.75">
      <c r="A38" s="38" t="s">
        <v>39</v>
      </c>
      <c r="B38" s="19">
        <v>22023506</v>
      </c>
      <c r="C38" s="42">
        <f>102.423*10^9/B38</f>
        <v>4650.6219309495955</v>
      </c>
      <c r="D38" s="20">
        <f t="shared" si="0"/>
        <v>0.530892914491963</v>
      </c>
      <c r="E38" s="17">
        <f>+D38/D$41</f>
        <v>0.38084333147247906</v>
      </c>
      <c r="F38" s="33">
        <v>460</v>
      </c>
      <c r="G38" s="22">
        <f>+F38*10^6/B38</f>
        <v>20.886774340107337</v>
      </c>
      <c r="H38" s="21">
        <f>+G38/G$41</f>
        <v>0.8078556676290826</v>
      </c>
      <c r="I38" s="45">
        <v>8499.157000000001</v>
      </c>
      <c r="J38" s="50">
        <f t="shared" si="2"/>
        <v>3102.192305</v>
      </c>
      <c r="K38" s="64">
        <f t="shared" si="3"/>
        <v>6.743896315217393</v>
      </c>
      <c r="L38" s="29">
        <f>+I38*10^3*365/B38/G$41</f>
        <v>5.448094860151257</v>
      </c>
    </row>
    <row r="39" spans="1:12" ht="12.75">
      <c r="A39" s="10" t="s">
        <v>27</v>
      </c>
      <c r="B39" s="4">
        <v>23317560</v>
      </c>
      <c r="C39" s="42">
        <f>622000000/B39</f>
        <v>26.675175275629183</v>
      </c>
      <c r="D39" s="20">
        <f t="shared" si="0"/>
        <v>0.0030451113328343817</v>
      </c>
      <c r="E39" s="60">
        <f>+D39/D$41</f>
        <v>0.0021844524819304278</v>
      </c>
      <c r="F39" s="32">
        <v>2.555</v>
      </c>
      <c r="G39" s="22">
        <f t="shared" si="1"/>
        <v>0.10957407207272116</v>
      </c>
      <c r="H39" s="61">
        <f>+G39/G$41</f>
        <v>0.004238090272233508</v>
      </c>
      <c r="I39" s="45">
        <v>0</v>
      </c>
      <c r="J39" s="50">
        <f t="shared" si="2"/>
        <v>0</v>
      </c>
      <c r="K39" s="58">
        <f t="shared" si="3"/>
        <v>0</v>
      </c>
      <c r="L39" s="29">
        <f>+I39*10^3*365/B39/G$41</f>
        <v>0</v>
      </c>
    </row>
    <row r="40" spans="1:12" ht="12.75">
      <c r="A40" s="10" t="s">
        <v>28</v>
      </c>
      <c r="B40" s="4">
        <v>59511464</v>
      </c>
      <c r="C40" s="42">
        <f>331.482*10^9/B40</f>
        <v>5570.0528556985255</v>
      </c>
      <c r="D40" s="20">
        <f t="shared" si="0"/>
        <v>0.635850782613987</v>
      </c>
      <c r="E40" s="17">
        <f>+D40/D$41</f>
        <v>0.45613630123850496</v>
      </c>
      <c r="F40" s="32">
        <v>626.614</v>
      </c>
      <c r="G40" s="22">
        <f t="shared" si="1"/>
        <v>10.529299027158869</v>
      </c>
      <c r="H40" s="21">
        <f>+G40/G$41</f>
        <v>0.40725072032391024</v>
      </c>
      <c r="I40" s="45">
        <v>2922</v>
      </c>
      <c r="J40" s="50">
        <f t="shared" si="2"/>
        <v>1066.53</v>
      </c>
      <c r="K40" s="64">
        <f t="shared" si="3"/>
        <v>1.7020526193158787</v>
      </c>
      <c r="L40" s="29">
        <f>+I40*10^3*365/B40/G$41</f>
        <v>0.6931621552455898</v>
      </c>
    </row>
    <row r="41" spans="1:12" s="78" customFormat="1" ht="12.75">
      <c r="A41" s="66" t="s">
        <v>29</v>
      </c>
      <c r="B41" s="67">
        <v>275562673</v>
      </c>
      <c r="C41" s="68">
        <f>3365000000000/B41</f>
        <v>12211.37813538338</v>
      </c>
      <c r="D41" s="69">
        <f t="shared" si="0"/>
        <v>1.393992937829153</v>
      </c>
      <c r="E41" s="70">
        <f>+D41/D$41</f>
        <v>1</v>
      </c>
      <c r="F41" s="71">
        <v>7124.559</v>
      </c>
      <c r="G41" s="72">
        <f>+F41*10^6/B41</f>
        <v>25.85458662610665</v>
      </c>
      <c r="H41" s="73">
        <f>+G41/G$41</f>
        <v>1</v>
      </c>
      <c r="I41" s="74">
        <v>8107.13973</v>
      </c>
      <c r="J41" s="75">
        <f t="shared" si="2"/>
        <v>2959.10600145</v>
      </c>
      <c r="K41" s="76">
        <f t="shared" si="3"/>
        <v>0.4153388302981279</v>
      </c>
      <c r="L41" s="77">
        <f>+I41*10^3*365/B41/G$41</f>
        <v>0.4153388302981279</v>
      </c>
    </row>
    <row r="42" spans="1:12" ht="12.75">
      <c r="A42" s="10" t="s">
        <v>30</v>
      </c>
      <c r="B42" s="4">
        <v>23542649</v>
      </c>
      <c r="C42" s="42">
        <f>65463000000/B42</f>
        <v>2780.6131756880886</v>
      </c>
      <c r="D42" s="20">
        <f>C42/8760</f>
        <v>0.31742159539818365</v>
      </c>
      <c r="E42" s="17">
        <f>+D42/D$41</f>
        <v>0.22770674569736357</v>
      </c>
      <c r="F42" s="32">
        <v>171.55</v>
      </c>
      <c r="G42" s="22">
        <f t="shared" si="1"/>
        <v>7.286775587573004</v>
      </c>
      <c r="H42" s="21">
        <f>+G42/G$41</f>
        <v>0.28183686295008054</v>
      </c>
      <c r="I42" s="45">
        <v>2995.8</v>
      </c>
      <c r="J42" s="50">
        <f t="shared" si="2"/>
        <v>1093.467</v>
      </c>
      <c r="K42" s="64">
        <f t="shared" si="3"/>
        <v>6.374042553191489</v>
      </c>
      <c r="L42" s="29">
        <f>+I42*10^3*365/B42/G$41</f>
        <v>1.796440157501811</v>
      </c>
    </row>
    <row r="43" spans="1:12" ht="12.75">
      <c r="A43" s="10" t="s">
        <v>31</v>
      </c>
      <c r="B43" s="6">
        <v>43421021</v>
      </c>
      <c r="C43" s="43">
        <f>174.486*10^9/B43</f>
        <v>4018.468381938785</v>
      </c>
      <c r="D43" s="9">
        <f>C43/8760</f>
        <v>0.45872926734461017</v>
      </c>
      <c r="E43" s="18">
        <f>+D43/D$41</f>
        <v>0.3290757470113036</v>
      </c>
      <c r="F43" s="34">
        <v>167.9</v>
      </c>
      <c r="G43" s="15">
        <f>+F43*10^6/B43</f>
        <v>3.866790695686313</v>
      </c>
      <c r="H43" s="16">
        <f>+G43/G$41</f>
        <v>0.14955917693078968</v>
      </c>
      <c r="I43" s="46">
        <v>209.5</v>
      </c>
      <c r="J43" s="51">
        <f t="shared" si="2"/>
        <v>76.4675</v>
      </c>
      <c r="K43" s="36">
        <f t="shared" si="3"/>
        <v>0.45543478260869563</v>
      </c>
      <c r="L43" s="37">
        <f>+I43*10^3*365/B43/G$41</f>
        <v>0.06811445123260965</v>
      </c>
    </row>
    <row r="44" spans="2:12" ht="12.75">
      <c r="B44" s="4"/>
      <c r="J44" s="35"/>
      <c r="K44" s="23"/>
      <c r="L44" s="23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</sheetData>
  <mergeCells count="3">
    <mergeCell ref="C16:E16"/>
    <mergeCell ref="F16:H16"/>
    <mergeCell ref="I16:L16"/>
  </mergeCells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1">
      <selection activeCell="A26" sqref="A26:IV26"/>
    </sheetView>
  </sheetViews>
  <sheetFormatPr defaultColWidth="9.140625" defaultRowHeight="12.75"/>
  <cols>
    <col min="1" max="1" width="4.140625" style="10" customWidth="1"/>
    <col min="2" max="2" width="17.140625" style="0" customWidth="1"/>
    <col min="3" max="3" width="13.7109375" style="4" customWidth="1"/>
    <col min="4" max="4" width="11.7109375" style="102" customWidth="1"/>
    <col min="5" max="5" width="8.140625" style="0" bestFit="1" customWidth="1"/>
    <col min="6" max="6" width="9.00390625" style="24" customWidth="1"/>
    <col min="8" max="8" width="7.00390625" style="0" customWidth="1"/>
    <col min="9" max="9" width="12.28125" style="0" hidden="1" customWidth="1"/>
    <col min="10" max="10" width="8.7109375" style="26" customWidth="1"/>
    <col min="11" max="11" width="10.140625" style="0" customWidth="1"/>
    <col min="12" max="12" width="10.00390625" style="0" customWidth="1"/>
    <col min="13" max="13" width="11.28125" style="0" customWidth="1"/>
    <col min="14" max="254" width="9.00390625" style="0" bestFit="1" customWidth="1"/>
    <col min="255" max="16384" width="9.00390625" style="0" customWidth="1"/>
  </cols>
  <sheetData>
    <row r="1" spans="2:3" ht="12.75">
      <c r="B1" s="7" t="s">
        <v>0</v>
      </c>
      <c r="C1" s="6"/>
    </row>
    <row r="2" spans="2:3" ht="12.75">
      <c r="B2" s="4">
        <f>5500000/10000</f>
        <v>550</v>
      </c>
      <c r="C2" s="4" t="s">
        <v>1</v>
      </c>
    </row>
    <row r="3" spans="2:3" ht="12.75">
      <c r="B3" s="4">
        <v>10</v>
      </c>
      <c r="C3" s="4" t="s">
        <v>2</v>
      </c>
    </row>
    <row r="4" spans="2:3" ht="12.75">
      <c r="B4" s="4">
        <v>5</v>
      </c>
      <c r="C4" s="4" t="s">
        <v>3</v>
      </c>
    </row>
    <row r="5" spans="2:3" ht="12.75">
      <c r="B5" s="4">
        <f>5*30</f>
        <v>150</v>
      </c>
      <c r="C5" s="4" t="s">
        <v>4</v>
      </c>
    </row>
    <row r="6" spans="2:3" ht="12.75">
      <c r="B6" s="4">
        <f>8760/12</f>
        <v>730</v>
      </c>
      <c r="C6" s="4" t="s">
        <v>5</v>
      </c>
    </row>
    <row r="7" spans="2:3" ht="12.75">
      <c r="B7" s="5">
        <f>+D35</f>
        <v>0.08976452976767318</v>
      </c>
      <c r="C7" s="4" t="s">
        <v>6</v>
      </c>
    </row>
    <row r="8" spans="2:4" ht="12.75">
      <c r="B8" s="4">
        <f>B7*1000/10*24/5</f>
        <v>43.08697428848312</v>
      </c>
      <c r="C8" s="4" t="s">
        <v>7</v>
      </c>
      <c r="D8" s="103"/>
    </row>
    <row r="9" spans="2:3" ht="12.75">
      <c r="B9" s="3">
        <f>+B8*4</f>
        <v>172.34789715393248</v>
      </c>
      <c r="C9" s="4" t="s">
        <v>8</v>
      </c>
    </row>
    <row r="10" ht="12.75">
      <c r="B10" s="3"/>
    </row>
    <row r="11" spans="2:3" ht="12.75">
      <c r="B11" s="4">
        <f>5280^3</f>
        <v>147197952000</v>
      </c>
      <c r="C11" s="4" t="s">
        <v>9</v>
      </c>
    </row>
    <row r="12" spans="2:3" ht="12.75">
      <c r="B12" s="8">
        <v>5.6145833</v>
      </c>
      <c r="C12" s="4" t="s">
        <v>10</v>
      </c>
    </row>
    <row r="13" spans="2:3" ht="12.75">
      <c r="B13" s="4">
        <f>B11/B12</f>
        <v>26217075094.424194</v>
      </c>
      <c r="C13" s="4" t="s">
        <v>11</v>
      </c>
    </row>
    <row r="14" spans="2:8" ht="12.75">
      <c r="B14" s="4">
        <f>0.621^3*B13</f>
        <v>6278545394.07957</v>
      </c>
      <c r="C14" s="4" t="s">
        <v>12</v>
      </c>
      <c r="D14" s="104"/>
      <c r="E14" s="2"/>
      <c r="F14" s="25"/>
      <c r="G14" s="2"/>
      <c r="H14" s="2"/>
    </row>
    <row r="15" spans="2:8" ht="12.75">
      <c r="B15" s="4"/>
      <c r="D15" s="104"/>
      <c r="E15" s="2"/>
      <c r="F15" s="25"/>
      <c r="G15" s="2"/>
      <c r="H15" s="2"/>
    </row>
    <row r="16" spans="2:12" ht="12.75">
      <c r="B16" s="48" t="s">
        <v>13</v>
      </c>
      <c r="C16" s="115" t="s">
        <v>42</v>
      </c>
      <c r="D16" s="116"/>
      <c r="E16" s="117"/>
      <c r="F16" s="118" t="s">
        <v>43</v>
      </c>
      <c r="G16" s="119"/>
      <c r="H16" s="120"/>
      <c r="I16" s="121" t="s">
        <v>44</v>
      </c>
      <c r="J16" s="122"/>
      <c r="K16" s="122"/>
      <c r="L16" s="123"/>
    </row>
    <row r="17" spans="1:12" ht="12.75">
      <c r="A17" s="11"/>
      <c r="B17" s="47"/>
      <c r="C17" s="52" t="s">
        <v>14</v>
      </c>
      <c r="D17" s="105" t="s">
        <v>15</v>
      </c>
      <c r="E17" s="54" t="s">
        <v>16</v>
      </c>
      <c r="F17" s="55" t="s">
        <v>47</v>
      </c>
      <c r="G17" s="53" t="s">
        <v>48</v>
      </c>
      <c r="H17" s="54" t="s">
        <v>16</v>
      </c>
      <c r="I17" s="56" t="s">
        <v>41</v>
      </c>
      <c r="J17" s="55" t="s">
        <v>47</v>
      </c>
      <c r="K17" s="57" t="s">
        <v>45</v>
      </c>
      <c r="L17" s="54" t="s">
        <v>49</v>
      </c>
    </row>
    <row r="18" spans="1:12" ht="12.75">
      <c r="A18" s="12" t="s">
        <v>31</v>
      </c>
      <c r="B18" s="14">
        <v>43421021</v>
      </c>
      <c r="C18" s="39">
        <v>4018.468381938785</v>
      </c>
      <c r="D18" s="106">
        <v>0.45872926734461017</v>
      </c>
      <c r="E18" s="63">
        <v>0.3290757470113036</v>
      </c>
      <c r="F18" s="30">
        <v>167.9</v>
      </c>
      <c r="G18" s="31">
        <v>3.866790695686313</v>
      </c>
      <c r="H18" s="62">
        <v>0.14955917693078968</v>
      </c>
      <c r="I18" s="44">
        <v>209.5</v>
      </c>
      <c r="J18" s="49">
        <v>76.4675</v>
      </c>
      <c r="K18" s="59">
        <v>0.45543478260869563</v>
      </c>
      <c r="L18" s="27">
        <v>0.06811445123260965</v>
      </c>
    </row>
    <row r="19" spans="1:12" ht="12.75">
      <c r="A19" s="13" t="s">
        <v>30</v>
      </c>
      <c r="B19" s="14">
        <v>23542649</v>
      </c>
      <c r="C19" s="41">
        <v>2780.6131756880886</v>
      </c>
      <c r="D19" s="107">
        <v>0.31742159539818365</v>
      </c>
      <c r="E19" s="17">
        <v>0.22770674569736357</v>
      </c>
      <c r="F19" s="32">
        <v>171.55</v>
      </c>
      <c r="G19" s="22">
        <v>7.286775587573004</v>
      </c>
      <c r="H19" s="21">
        <v>0.28183686295008054</v>
      </c>
      <c r="I19" s="45">
        <v>2995.8</v>
      </c>
      <c r="J19" s="50">
        <v>1093.467</v>
      </c>
      <c r="K19" s="28">
        <v>6.374042553191489</v>
      </c>
      <c r="L19" s="29">
        <v>1.796440157501811</v>
      </c>
    </row>
    <row r="20" spans="1:12" ht="12.75">
      <c r="A20" s="90" t="s">
        <v>29</v>
      </c>
      <c r="B20" s="91">
        <v>275562673</v>
      </c>
      <c r="C20" s="92">
        <v>12211.37813538338</v>
      </c>
      <c r="D20" s="108">
        <v>1.393992937829153</v>
      </c>
      <c r="E20" s="93">
        <v>1</v>
      </c>
      <c r="F20" s="94">
        <v>7124.559</v>
      </c>
      <c r="G20" s="95">
        <v>25.85458662610665</v>
      </c>
      <c r="H20" s="96">
        <v>1</v>
      </c>
      <c r="I20" s="97">
        <v>8107.13973</v>
      </c>
      <c r="J20" s="98">
        <v>2959.10600145</v>
      </c>
      <c r="K20" s="99">
        <v>0.4153388302981279</v>
      </c>
      <c r="L20" s="100">
        <v>0.4153388302981279</v>
      </c>
    </row>
    <row r="21" spans="1:12" ht="12.75">
      <c r="A21" s="12" t="s">
        <v>28</v>
      </c>
      <c r="B21" s="4">
        <v>59511464</v>
      </c>
      <c r="C21" s="42">
        <v>5570.0528556985255</v>
      </c>
      <c r="D21" s="107">
        <v>0.635850782613987</v>
      </c>
      <c r="E21" s="65">
        <v>0.45613630123850496</v>
      </c>
      <c r="F21" s="32">
        <v>626.614</v>
      </c>
      <c r="G21" s="22">
        <v>10.529299027158869</v>
      </c>
      <c r="H21" s="21">
        <v>0.40725072032391024</v>
      </c>
      <c r="I21" s="45">
        <v>2922</v>
      </c>
      <c r="J21" s="50">
        <v>1066.53</v>
      </c>
      <c r="K21" s="64">
        <v>1.7020526193158787</v>
      </c>
      <c r="L21" s="29">
        <v>0.6931621552455898</v>
      </c>
    </row>
    <row r="22" spans="1:12" ht="12.75">
      <c r="A22" s="12" t="s">
        <v>27</v>
      </c>
      <c r="B22" s="4">
        <v>23317560</v>
      </c>
      <c r="C22" s="42">
        <v>26.675175275629183</v>
      </c>
      <c r="D22" s="107">
        <v>0.0030451113328343817</v>
      </c>
      <c r="E22" s="17">
        <v>0.0021844524819304278</v>
      </c>
      <c r="F22" s="32">
        <v>2.555</v>
      </c>
      <c r="G22" s="22">
        <v>0.10957407207272116</v>
      </c>
      <c r="H22" s="21">
        <v>0.004238090272233508</v>
      </c>
      <c r="I22" s="45">
        <v>0</v>
      </c>
      <c r="J22" s="50">
        <v>0</v>
      </c>
      <c r="K22" s="28">
        <v>0</v>
      </c>
      <c r="L22" s="29">
        <v>0</v>
      </c>
    </row>
    <row r="23" spans="1:12" ht="12.75">
      <c r="A23" s="12" t="s">
        <v>39</v>
      </c>
      <c r="B23" s="4">
        <v>22023506</v>
      </c>
      <c r="C23" s="42">
        <v>4650.6219309495955</v>
      </c>
      <c r="D23" s="107">
        <v>0.530892914491963</v>
      </c>
      <c r="E23" s="17">
        <v>0.38084333147247906</v>
      </c>
      <c r="F23" s="32">
        <v>460</v>
      </c>
      <c r="G23" s="22">
        <v>20.886774340107337</v>
      </c>
      <c r="H23" s="21">
        <v>0.8078556676290826</v>
      </c>
      <c r="I23" s="45">
        <v>8499.157000000001</v>
      </c>
      <c r="J23" s="50">
        <v>3102.192305</v>
      </c>
      <c r="K23" s="28">
        <v>6.743896315217393</v>
      </c>
      <c r="L23" s="29">
        <v>5.448094860151257</v>
      </c>
    </row>
    <row r="24" spans="1:12" ht="12.75">
      <c r="A24" s="12" t="s">
        <v>35</v>
      </c>
      <c r="B24" s="4">
        <v>4481162</v>
      </c>
      <c r="C24" s="42">
        <v>24770.5840583313</v>
      </c>
      <c r="D24" s="107">
        <v>2.8276922441017467</v>
      </c>
      <c r="E24" s="17">
        <v>2.028483909326883</v>
      </c>
      <c r="F24" s="32">
        <v>81.8</v>
      </c>
      <c r="G24" s="22">
        <v>18.25419388988838</v>
      </c>
      <c r="H24" s="21">
        <v>0.7060330978742558</v>
      </c>
      <c r="I24" s="45">
        <v>3138.9</v>
      </c>
      <c r="J24" s="50">
        <v>1145.6985</v>
      </c>
      <c r="K24" s="28">
        <v>14.00609413202934</v>
      </c>
      <c r="L24" s="29">
        <v>9.88876602915511</v>
      </c>
    </row>
    <row r="25" spans="1:12" ht="12.75">
      <c r="A25" s="12" t="s">
        <v>26</v>
      </c>
      <c r="B25" s="4">
        <v>123337822</v>
      </c>
      <c r="C25" s="42">
        <v>111.2148712987651</v>
      </c>
      <c r="D25" s="107">
        <v>0.012695761563785971</v>
      </c>
      <c r="E25" s="17">
        <v>0.009107479112166032</v>
      </c>
      <c r="F25" s="32">
        <v>102.2</v>
      </c>
      <c r="G25" s="22">
        <v>0.82861849141458</v>
      </c>
      <c r="H25" s="21">
        <v>0.032049187380079135</v>
      </c>
      <c r="I25" s="45">
        <v>2129.86</v>
      </c>
      <c r="J25" s="50">
        <v>777.3989</v>
      </c>
      <c r="K25" s="64">
        <v>7.606642857142857</v>
      </c>
      <c r="L25" s="29">
        <v>0.24378672226191195</v>
      </c>
    </row>
    <row r="26" spans="1:12" ht="12.75">
      <c r="A26" s="12" t="s">
        <v>25</v>
      </c>
      <c r="B26" s="4">
        <v>100349766</v>
      </c>
      <c r="C26" s="42">
        <v>1641.9270972689662</v>
      </c>
      <c r="D26" s="107">
        <v>0.18743460014485916</v>
      </c>
      <c r="E26" s="60">
        <v>0.13445878745752374</v>
      </c>
      <c r="F26" s="32">
        <v>720.875</v>
      </c>
      <c r="G26" s="22">
        <v>7.183624125242106</v>
      </c>
      <c r="H26" s="21">
        <v>0.27784718545793524</v>
      </c>
      <c r="I26" s="45">
        <v>3345</v>
      </c>
      <c r="J26" s="50">
        <v>1220.925</v>
      </c>
      <c r="K26" s="28">
        <v>1.6936708860759495</v>
      </c>
      <c r="L26" s="29">
        <v>0.4705816887882498</v>
      </c>
    </row>
    <row r="27" spans="1:12" ht="12.75">
      <c r="A27" s="12" t="s">
        <v>24</v>
      </c>
      <c r="B27" s="4">
        <v>21687550</v>
      </c>
      <c r="C27" s="42">
        <v>1587.1</v>
      </c>
      <c r="D27" s="107">
        <v>0.181175799086758</v>
      </c>
      <c r="E27" s="60">
        <v>0.1299689504660624</v>
      </c>
      <c r="F27" s="32">
        <v>26.28</v>
      </c>
      <c r="G27" s="22">
        <v>1.2117551314002735</v>
      </c>
      <c r="H27" s="21">
        <v>0.04686809148890838</v>
      </c>
      <c r="I27" s="45">
        <v>0</v>
      </c>
      <c r="J27" s="50">
        <v>0</v>
      </c>
      <c r="K27" s="64">
        <v>0</v>
      </c>
      <c r="L27" s="29">
        <v>0</v>
      </c>
    </row>
    <row r="28" spans="1:12" ht="12.75">
      <c r="A28" s="12" t="s">
        <v>23</v>
      </c>
      <c r="B28" s="19">
        <v>126549976</v>
      </c>
      <c r="C28" s="42">
        <v>7887.2</v>
      </c>
      <c r="D28" s="107">
        <v>0.900365296803653</v>
      </c>
      <c r="E28" s="17">
        <v>0.6458894248099851</v>
      </c>
      <c r="F28" s="32">
        <v>2033.679</v>
      </c>
      <c r="G28" s="22">
        <v>16.070165038988232</v>
      </c>
      <c r="H28" s="21">
        <v>0.6215595426600786</v>
      </c>
      <c r="I28" s="45">
        <v>16.318</v>
      </c>
      <c r="J28" s="50">
        <v>5.95607</v>
      </c>
      <c r="K28" s="58">
        <v>0.0029287168722300825</v>
      </c>
      <c r="L28" s="29">
        <v>0.001820371919684186</v>
      </c>
    </row>
    <row r="29" spans="1:12" ht="12.75">
      <c r="A29" s="12" t="s">
        <v>36</v>
      </c>
      <c r="B29" s="4">
        <v>65619636</v>
      </c>
      <c r="C29" s="42">
        <v>1350.7846949958698</v>
      </c>
      <c r="D29" s="107">
        <v>0.15419916609541892</v>
      </c>
      <c r="E29" s="60">
        <v>0.11061689188723674</v>
      </c>
      <c r="F29" s="32">
        <v>438</v>
      </c>
      <c r="G29" s="22">
        <v>6.674831295924896</v>
      </c>
      <c r="H29" s="61">
        <v>0.2581681692479659</v>
      </c>
      <c r="I29" s="45">
        <v>3632</v>
      </c>
      <c r="J29" s="50">
        <v>1325.68</v>
      </c>
      <c r="K29" s="28">
        <v>3.026666666666667</v>
      </c>
      <c r="L29" s="29">
        <v>0.7813889922571767</v>
      </c>
    </row>
    <row r="30" spans="1:12" s="1" customFormat="1" ht="12.75">
      <c r="A30" s="12" t="s">
        <v>37</v>
      </c>
      <c r="B30" s="19">
        <v>22675617</v>
      </c>
      <c r="C30" s="42">
        <v>1164.7753620110977</v>
      </c>
      <c r="D30" s="107">
        <v>0.13296522397386962</v>
      </c>
      <c r="E30" s="17">
        <v>0.09538443156027364</v>
      </c>
      <c r="F30" s="32">
        <v>181</v>
      </c>
      <c r="G30" s="22">
        <v>7.982142227927028</v>
      </c>
      <c r="H30" s="21">
        <v>0.3087321543121121</v>
      </c>
      <c r="I30" s="45">
        <v>2522.877</v>
      </c>
      <c r="J30" s="50">
        <v>920.850105</v>
      </c>
      <c r="K30" s="64">
        <v>5.087569640883978</v>
      </c>
      <c r="L30" s="29">
        <v>1.570696335443009</v>
      </c>
    </row>
    <row r="31" spans="1:12" ht="12.75">
      <c r="A31" s="12" t="s">
        <v>34</v>
      </c>
      <c r="B31" s="19">
        <v>1014003817</v>
      </c>
      <c r="C31" s="42">
        <v>410.59608752932337</v>
      </c>
      <c r="D31" s="107">
        <v>0.04687169948964879</v>
      </c>
      <c r="E31" s="17">
        <v>0.033624058069219115</v>
      </c>
      <c r="F31" s="32">
        <v>704.45</v>
      </c>
      <c r="G31" s="22">
        <v>0.6947212507386449</v>
      </c>
      <c r="H31" s="21">
        <v>0.02687032907488649</v>
      </c>
      <c r="I31" s="45">
        <v>742.66</v>
      </c>
      <c r="J31" s="50">
        <v>271.07089999999994</v>
      </c>
      <c r="K31" s="28">
        <v>0.3847979274611399</v>
      </c>
      <c r="L31" s="29">
        <v>0.01033964693821513</v>
      </c>
    </row>
    <row r="32" spans="1:12" ht="12.75">
      <c r="A32" s="12" t="s">
        <v>38</v>
      </c>
      <c r="B32" s="4">
        <v>5842454</v>
      </c>
      <c r="C32" s="42">
        <v>5443.7741401130415</v>
      </c>
      <c r="D32" s="107">
        <v>0.6214354041224933</v>
      </c>
      <c r="E32" s="17">
        <v>0.4457952312801861</v>
      </c>
      <c r="F32" s="32">
        <v>94</v>
      </c>
      <c r="G32" s="22">
        <v>16.089129670511742</v>
      </c>
      <c r="H32" s="21">
        <v>0.6222930539630348</v>
      </c>
      <c r="I32" s="45">
        <v>0.2</v>
      </c>
      <c r="J32" s="50">
        <v>0.073</v>
      </c>
      <c r="K32" s="58">
        <v>0.000776595744680851</v>
      </c>
      <c r="L32" s="29">
        <v>0.00048327013765214397</v>
      </c>
    </row>
    <row r="33" spans="1:12" ht="12.75">
      <c r="A33" s="12" t="s">
        <v>32</v>
      </c>
      <c r="B33" s="4">
        <v>224784210</v>
      </c>
      <c r="C33" s="42">
        <v>302.56128755663036</v>
      </c>
      <c r="D33" s="107">
        <v>0.034538959766738625</v>
      </c>
      <c r="E33" s="17">
        <v>0.024776997665802884</v>
      </c>
      <c r="F33" s="32">
        <v>361.35</v>
      </c>
      <c r="G33" s="22">
        <v>1.6075417396978195</v>
      </c>
      <c r="H33" s="21">
        <v>0.062176269261044984</v>
      </c>
      <c r="I33" s="45">
        <v>1558.762</v>
      </c>
      <c r="J33" s="50">
        <v>568.94813</v>
      </c>
      <c r="K33" s="58">
        <v>1.5745070707070707</v>
      </c>
      <c r="L33" s="29">
        <v>0.09789697558170202</v>
      </c>
    </row>
    <row r="34" spans="1:12" ht="12.75">
      <c r="A34" s="12" t="s">
        <v>22</v>
      </c>
      <c r="B34" s="4">
        <v>12639939</v>
      </c>
      <c r="C34" s="42">
        <v>230.53908725350652</v>
      </c>
      <c r="D34" s="107">
        <v>0.026317247403368323</v>
      </c>
      <c r="E34" s="17">
        <v>0.0188790392613838</v>
      </c>
      <c r="F34" s="32">
        <v>21.9</v>
      </c>
      <c r="G34" s="22">
        <v>1.7326032981646509</v>
      </c>
      <c r="H34" s="21">
        <v>0.06701338231473235</v>
      </c>
      <c r="I34" s="45">
        <v>23.3</v>
      </c>
      <c r="J34" s="50">
        <v>8.5045</v>
      </c>
      <c r="K34" s="64">
        <v>0.38833333333333336</v>
      </c>
      <c r="L34" s="29">
        <v>0.026023530132221064</v>
      </c>
    </row>
    <row r="35" spans="1:12" ht="12.75">
      <c r="A35" s="12" t="s">
        <v>21</v>
      </c>
      <c r="B35" s="4">
        <v>68359979</v>
      </c>
      <c r="C35" s="42">
        <v>786.3372807648171</v>
      </c>
      <c r="D35" s="107">
        <v>0.08976452976767318</v>
      </c>
      <c r="E35" s="60">
        <v>0.06439381960389436</v>
      </c>
      <c r="F35" s="32">
        <v>213.525</v>
      </c>
      <c r="G35" s="22">
        <v>3.123538115773851</v>
      </c>
      <c r="H35" s="61">
        <v>0.12081176005420488</v>
      </c>
      <c r="I35" s="45">
        <v>926.589</v>
      </c>
      <c r="J35" s="50">
        <v>338.204985</v>
      </c>
      <c r="K35" s="64">
        <v>1.5839128205128203</v>
      </c>
      <c r="L35" s="29">
        <v>0.19135529561857373</v>
      </c>
    </row>
    <row r="36" spans="1:12" ht="12.75">
      <c r="A36" s="12" t="s">
        <v>51</v>
      </c>
      <c r="B36" s="4">
        <v>13710234</v>
      </c>
      <c r="C36" s="42">
        <v>728.579833137786</v>
      </c>
      <c r="D36" s="107">
        <v>0.08317121382851438</v>
      </c>
      <c r="E36" s="60">
        <v>0.05966401376325179</v>
      </c>
      <c r="F36" s="32">
        <v>47.085</v>
      </c>
      <c r="G36" s="22">
        <v>3.4280961214812233</v>
      </c>
      <c r="H36" s="61">
        <v>0.13259141099628743</v>
      </c>
      <c r="I36" s="45">
        <v>421.2</v>
      </c>
      <c r="J36" s="50">
        <v>153.738</v>
      </c>
      <c r="K36" s="64">
        <v>3.271021276595745</v>
      </c>
      <c r="L36" s="29">
        <v>0.43370932646270727</v>
      </c>
    </row>
    <row r="37" spans="1:12" ht="12.75">
      <c r="A37" s="12" t="s">
        <v>20</v>
      </c>
      <c r="B37" s="4">
        <v>82797408</v>
      </c>
      <c r="C37" s="42">
        <v>5894.399496177465</v>
      </c>
      <c r="D37" s="107">
        <v>0.6728766548147791</v>
      </c>
      <c r="E37" s="65">
        <v>0.48269731973150537</v>
      </c>
      <c r="F37" s="32">
        <v>1030.129</v>
      </c>
      <c r="G37" s="22">
        <v>12.441560972536724</v>
      </c>
      <c r="H37" s="21">
        <v>0.4812129140743588</v>
      </c>
      <c r="I37" s="45">
        <v>76.29599999999999</v>
      </c>
      <c r="J37" s="50">
        <v>27.848039999999997</v>
      </c>
      <c r="K37" s="64">
        <v>0.02703354628400909</v>
      </c>
      <c r="L37" s="29">
        <v>0.013008891585092067</v>
      </c>
    </row>
    <row r="38" spans="1:12" ht="12.75">
      <c r="A38" s="38" t="s">
        <v>19</v>
      </c>
      <c r="B38" s="19">
        <v>11141997</v>
      </c>
      <c r="C38" s="42">
        <v>1274.9061052520478</v>
      </c>
      <c r="D38" s="107">
        <v>0.1455372266269461</v>
      </c>
      <c r="E38" s="17">
        <v>0.10440313051627746</v>
      </c>
      <c r="F38" s="33">
        <v>59.495</v>
      </c>
      <c r="G38" s="22">
        <v>5.339707056104934</v>
      </c>
      <c r="H38" s="21">
        <v>0.20652842504599045</v>
      </c>
      <c r="I38" s="45">
        <v>40.5</v>
      </c>
      <c r="J38" s="50">
        <v>14.7825</v>
      </c>
      <c r="K38" s="64">
        <v>0.24846625766871164</v>
      </c>
      <c r="L38" s="29">
        <v>0.05131534487339026</v>
      </c>
    </row>
    <row r="39" spans="1:12" ht="12.75">
      <c r="A39" s="10" t="s">
        <v>46</v>
      </c>
      <c r="B39" s="4">
        <v>1261832482</v>
      </c>
      <c r="C39" s="42">
        <v>803.5931983561031</v>
      </c>
      <c r="D39" s="107">
        <v>0.09173438337398437</v>
      </c>
      <c r="E39" s="60">
        <v>0.06580692117195452</v>
      </c>
      <c r="F39" s="32">
        <v>1576.8</v>
      </c>
      <c r="G39" s="22">
        <v>1.2496111983904374</v>
      </c>
      <c r="H39" s="61">
        <v>0.04833228302821301</v>
      </c>
      <c r="I39" s="45">
        <v>3195</v>
      </c>
      <c r="J39" s="50">
        <v>1166.175</v>
      </c>
      <c r="K39" s="58">
        <v>0.7395833333333333</v>
      </c>
      <c r="L39" s="29">
        <v>0.03574575098961587</v>
      </c>
    </row>
    <row r="40" spans="1:12" ht="12.75">
      <c r="A40" s="10" t="s">
        <v>18</v>
      </c>
      <c r="B40" s="4">
        <v>31281092</v>
      </c>
      <c r="C40" s="42">
        <v>15489.069243490605</v>
      </c>
      <c r="D40" s="107">
        <v>1.7681585894395668</v>
      </c>
      <c r="E40" s="17">
        <v>1.2684128745968377</v>
      </c>
      <c r="F40" s="32">
        <v>705.441</v>
      </c>
      <c r="G40" s="22">
        <v>22.55167434691858</v>
      </c>
      <c r="H40" s="21">
        <v>0.8722504317337275</v>
      </c>
      <c r="I40" s="45">
        <v>2559.8</v>
      </c>
      <c r="J40" s="50">
        <v>934.3270000000001</v>
      </c>
      <c r="K40" s="64">
        <v>1.3244580340524579</v>
      </c>
      <c r="L40" s="29">
        <v>1.1552590920154604</v>
      </c>
    </row>
    <row r="41" spans="1:12" s="82" customFormat="1" ht="12.75">
      <c r="A41" s="79" t="s">
        <v>17</v>
      </c>
      <c r="B41" s="80">
        <v>8152620</v>
      </c>
      <c r="C41" s="81">
        <v>295.8558107700347</v>
      </c>
      <c r="D41" s="109">
        <v>0.03377349438014095</v>
      </c>
      <c r="E41" s="83">
        <v>0.02422788054632183</v>
      </c>
      <c r="F41" s="84">
        <v>14.235</v>
      </c>
      <c r="G41" s="82">
        <v>1.7460644553530031</v>
      </c>
      <c r="H41" s="85">
        <v>0.06753403102526946</v>
      </c>
      <c r="I41" s="86">
        <v>42.6</v>
      </c>
      <c r="J41" s="87">
        <v>15.549</v>
      </c>
      <c r="K41" s="88">
        <v>1.0923076923076922</v>
      </c>
      <c r="L41" s="89">
        <v>0.07376794158144817</v>
      </c>
    </row>
    <row r="42" spans="1:12" ht="12.75">
      <c r="A42" s="10" t="s">
        <v>33</v>
      </c>
      <c r="B42" s="4">
        <v>19169083</v>
      </c>
      <c r="C42" s="42">
        <v>9042.686079454088</v>
      </c>
      <c r="D42" s="107">
        <v>1.0322701003943022</v>
      </c>
      <c r="E42" s="17">
        <v>0.7405131492286059</v>
      </c>
      <c r="F42" s="32">
        <v>310.889</v>
      </c>
      <c r="G42" s="22">
        <v>16.21825102431869</v>
      </c>
      <c r="H42" s="21">
        <v>0.6272871911996583</v>
      </c>
      <c r="I42" s="45">
        <v>610.98</v>
      </c>
      <c r="J42" s="50">
        <v>223.0077</v>
      </c>
      <c r="K42" s="64">
        <v>0.7173225813714863</v>
      </c>
      <c r="L42" s="29">
        <v>0.449967267252608</v>
      </c>
    </row>
    <row r="43" spans="1:12" ht="12.75">
      <c r="A43" s="10" t="s">
        <v>40</v>
      </c>
      <c r="B43" s="6">
        <v>25838797</v>
      </c>
      <c r="C43" s="43">
        <v>19.73776101108732</v>
      </c>
      <c r="D43" s="110">
        <v>0.0022531690651926162</v>
      </c>
      <c r="E43" s="18">
        <v>0.0016163418078010117</v>
      </c>
      <c r="F43" s="34">
        <v>2.19</v>
      </c>
      <c r="G43" s="15">
        <v>0.08475626787113967</v>
      </c>
      <c r="H43" s="16">
        <v>0.0032781907944162253</v>
      </c>
      <c r="I43" s="46">
        <v>0</v>
      </c>
      <c r="J43" s="51">
        <v>0</v>
      </c>
      <c r="K43" s="36">
        <v>0</v>
      </c>
      <c r="L43" s="37">
        <v>0</v>
      </c>
    </row>
    <row r="44" spans="2:12" ht="12.75">
      <c r="B44" s="4"/>
      <c r="J44" s="35"/>
      <c r="K44" s="23"/>
      <c r="L44" s="23"/>
    </row>
    <row r="45" spans="2:7" ht="12.75">
      <c r="B45" s="4"/>
      <c r="D45" s="111">
        <v>1.393992937829153</v>
      </c>
      <c r="G45" s="72">
        <v>25.85458662610665</v>
      </c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</sheetData>
  <mergeCells count="3">
    <mergeCell ref="C16:E16"/>
    <mergeCell ref="F16:H16"/>
    <mergeCell ref="I16:L16"/>
  </mergeCells>
  <printOptions gridLine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9" sqref="O9"/>
    </sheetView>
  </sheetViews>
  <sheetFormatPr defaultColWidth="9.140625" defaultRowHeight="12.75"/>
  <cols>
    <col min="1" max="16384" width="9.140625" style="82" customWidth="1"/>
  </cols>
  <sheetData>
    <row r="1" ht="12.75">
      <c r="A1" s="11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RBS</cp:lastModifiedBy>
  <cp:lastPrinted>2003-10-13T22:43:49Z</cp:lastPrinted>
  <dcterms:created xsi:type="dcterms:W3CDTF">2001-09-14T18:17:31Z</dcterms:created>
  <dcterms:modified xsi:type="dcterms:W3CDTF">2004-09-21T09:11:54Z</dcterms:modified>
  <cp:category/>
  <cp:version/>
  <cp:contentType/>
  <cp:contentStatus/>
</cp:coreProperties>
</file>